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yanceva\Desktop\"/>
    </mc:Choice>
  </mc:AlternateContent>
  <bookViews>
    <workbookView xWindow="0" yWindow="0" windowWidth="23040" windowHeight="9372" tabRatio="675"/>
  </bookViews>
  <sheets>
    <sheet name="Схема" sheetId="13" r:id="rId1"/>
    <sheet name="1.Расчет отлов" sheetId="6" r:id="rId2"/>
    <sheet name="2. Содержание в приютах" sheetId="7" r:id="rId3"/>
    <sheet name="3. Возврат владельцам" sheetId="9" r:id="rId4"/>
    <sheet name="4. Возврат на прежние места" sheetId="8" r:id="rId5"/>
    <sheet name="5. Содержание невозвратных" sheetId="10" r:id="rId6"/>
  </sheets>
  <definedNames>
    <definedName name="_xlnm.Print_Area" localSheetId="2">'2. Содержание в приютах'!$A$1:$G$118</definedName>
    <definedName name="_xlnm.Print_Area" localSheetId="0">Схема!$A$1:$U$27</definedName>
  </definedNames>
  <calcPr calcId="152511"/>
</workbook>
</file>

<file path=xl/calcChain.xml><?xml version="1.0" encoding="utf-8"?>
<calcChain xmlns="http://schemas.openxmlformats.org/spreadsheetml/2006/main">
  <c r="E88" i="6" l="1"/>
  <c r="S24" i="13" l="1"/>
  <c r="S26" i="13"/>
  <c r="E38" i="10"/>
  <c r="E37" i="10"/>
  <c r="D15" i="10"/>
  <c r="G24" i="13"/>
  <c r="G110" i="7"/>
  <c r="D13" i="7"/>
  <c r="D12" i="7"/>
  <c r="E49" i="7"/>
  <c r="E45" i="7"/>
  <c r="E47" i="7"/>
  <c r="F40" i="7"/>
  <c r="C65" i="6"/>
  <c r="D7" i="13" l="1"/>
  <c r="G26" i="13" l="1"/>
  <c r="F26" i="10"/>
  <c r="D11" i="10"/>
  <c r="E46" i="7"/>
  <c r="I108" i="8" l="1"/>
  <c r="K106" i="8"/>
  <c r="J104" i="8"/>
  <c r="J108" i="8" s="1"/>
  <c r="J97" i="8"/>
  <c r="I97" i="8"/>
  <c r="K88" i="8"/>
  <c r="K87" i="8"/>
  <c r="K86" i="8"/>
  <c r="K85" i="8"/>
  <c r="K84" i="8"/>
  <c r="I74" i="8"/>
  <c r="I78" i="8" s="1"/>
  <c r="I51" i="8" s="1"/>
  <c r="I64" i="8"/>
  <c r="I55" i="8"/>
  <c r="I49" i="8"/>
  <c r="I50" i="8" s="1"/>
  <c r="J119" i="6"/>
  <c r="K119" i="6" s="1"/>
  <c r="J118" i="6"/>
  <c r="K118" i="6" s="1"/>
  <c r="K117" i="6"/>
  <c r="I116" i="6"/>
  <c r="I120" i="6" s="1"/>
  <c r="J115" i="6"/>
  <c r="K115" i="6" s="1"/>
  <c r="I109" i="6"/>
  <c r="K107" i="6"/>
  <c r="J105" i="6"/>
  <c r="J109" i="6" s="1"/>
  <c r="J96" i="6"/>
  <c r="J98" i="6" s="1"/>
  <c r="I96" i="6"/>
  <c r="I95" i="6"/>
  <c r="I98" i="6" s="1"/>
  <c r="K98" i="6" s="1"/>
  <c r="I54" i="6" s="1"/>
  <c r="K89" i="6"/>
  <c r="K88" i="6"/>
  <c r="K87" i="6"/>
  <c r="K86" i="6"/>
  <c r="K85" i="6"/>
  <c r="I75" i="6"/>
  <c r="I79" i="6" s="1"/>
  <c r="I52" i="6" s="1"/>
  <c r="I65" i="6"/>
  <c r="I50" i="6" s="1"/>
  <c r="I51" i="6" s="1"/>
  <c r="K97" i="8" l="1"/>
  <c r="I53" i="8" s="1"/>
  <c r="K89" i="8"/>
  <c r="I52" i="8" s="1"/>
  <c r="K108" i="8"/>
  <c r="I54" i="8" s="1"/>
  <c r="K109" i="6"/>
  <c r="I55" i="6" s="1"/>
  <c r="K90" i="6"/>
  <c r="I53" i="6" s="1"/>
  <c r="K116" i="6"/>
  <c r="K120" i="6" s="1"/>
  <c r="I56" i="6" s="1"/>
  <c r="Q25" i="13"/>
  <c r="D12" i="10"/>
  <c r="F29" i="10" s="1"/>
  <c r="F57" i="7"/>
  <c r="F91" i="7"/>
  <c r="F92" i="7" s="1"/>
  <c r="G92" i="7" s="1"/>
  <c r="D13" i="9"/>
  <c r="D14" i="9"/>
  <c r="C109" i="6"/>
  <c r="C108" i="8"/>
  <c r="D104" i="8"/>
  <c r="D108" i="8" s="1"/>
  <c r="E106" i="8"/>
  <c r="D40" i="7"/>
  <c r="F25" i="10"/>
  <c r="F24" i="10"/>
  <c r="C36" i="6"/>
  <c r="E117" i="6"/>
  <c r="E86" i="6"/>
  <c r="E89" i="6"/>
  <c r="E85" i="8"/>
  <c r="C64" i="8"/>
  <c r="C49" i="8" s="1"/>
  <c r="C6" i="8"/>
  <c r="D6" i="8" s="1"/>
  <c r="C74" i="8"/>
  <c r="E84" i="8"/>
  <c r="E86" i="8"/>
  <c r="E87" i="8"/>
  <c r="E88" i="8"/>
  <c r="C97" i="8"/>
  <c r="D97" i="8"/>
  <c r="D114" i="8"/>
  <c r="E114" i="8" s="1"/>
  <c r="E115" i="8"/>
  <c r="E116" i="8"/>
  <c r="D117" i="8"/>
  <c r="E117" i="8" s="1"/>
  <c r="D118" i="8"/>
  <c r="E118" i="8" s="1"/>
  <c r="C119" i="8"/>
  <c r="F98" i="7"/>
  <c r="F100" i="7" s="1"/>
  <c r="G100" i="7" s="1"/>
  <c r="F84" i="7"/>
  <c r="F83" i="7"/>
  <c r="F82" i="7"/>
  <c r="F81" i="7"/>
  <c r="F80" i="7"/>
  <c r="F79" i="7"/>
  <c r="F78" i="7"/>
  <c r="F77" i="7"/>
  <c r="F76" i="7"/>
  <c r="F75" i="7"/>
  <c r="F74" i="7"/>
  <c r="F73" i="7"/>
  <c r="F85" i="7"/>
  <c r="F72" i="7"/>
  <c r="F33" i="7"/>
  <c r="F32" i="7"/>
  <c r="F31" i="7"/>
  <c r="F64" i="7"/>
  <c r="F66" i="7" s="1"/>
  <c r="F56" i="7"/>
  <c r="F55" i="7"/>
  <c r="C116" i="6"/>
  <c r="C120" i="6" s="1"/>
  <c r="E87" i="6"/>
  <c r="E85" i="6"/>
  <c r="C5" i="6"/>
  <c r="C37" i="6" s="1"/>
  <c r="C128" i="6" s="1"/>
  <c r="C75" i="6"/>
  <c r="C79" i="6" s="1"/>
  <c r="C50" i="6"/>
  <c r="C95" i="6"/>
  <c r="C96" i="6"/>
  <c r="D96" i="6"/>
  <c r="D98" i="6" s="1"/>
  <c r="D105" i="6"/>
  <c r="D109" i="6" s="1"/>
  <c r="D115" i="6"/>
  <c r="E115" i="6" s="1"/>
  <c r="D118" i="6"/>
  <c r="E118" i="6" s="1"/>
  <c r="D119" i="6"/>
  <c r="E119" i="6" s="1"/>
  <c r="E107" i="6"/>
  <c r="C51" i="6"/>
  <c r="E33" i="10" l="1"/>
  <c r="C78" i="8"/>
  <c r="C133" i="8"/>
  <c r="C135" i="8" s="1"/>
  <c r="D126" i="8" s="1"/>
  <c r="D16" i="9"/>
  <c r="C98" i="6"/>
  <c r="E116" i="6"/>
  <c r="E120" i="6" s="1"/>
  <c r="I56" i="8"/>
  <c r="C50" i="8"/>
  <c r="E108" i="8"/>
  <c r="F34" i="7"/>
  <c r="C130" i="6"/>
  <c r="E130" i="6" s="1"/>
  <c r="C129" i="6"/>
  <c r="E129" i="6" s="1"/>
  <c r="C52" i="6"/>
  <c r="I57" i="6"/>
  <c r="E98" i="6"/>
  <c r="E119" i="8"/>
  <c r="C55" i="8" s="1"/>
  <c r="E97" i="8"/>
  <c r="C53" i="8" s="1"/>
  <c r="E89" i="8"/>
  <c r="D7" i="7"/>
  <c r="D6" i="10"/>
  <c r="E6" i="10" s="1"/>
  <c r="D7" i="9"/>
  <c r="D8" i="9" s="1"/>
  <c r="D15" i="9" s="1"/>
  <c r="G85" i="7"/>
  <c r="E109" i="6"/>
  <c r="F58" i="7"/>
  <c r="G58" i="7" s="1"/>
  <c r="E90" i="6"/>
  <c r="C38" i="8"/>
  <c r="C54" i="8" l="1"/>
  <c r="C128" i="8"/>
  <c r="C145" i="8"/>
  <c r="C147" i="8" s="1"/>
  <c r="C149" i="8" s="1"/>
  <c r="D128" i="8" s="1"/>
  <c r="C52" i="8"/>
  <c r="C138" i="8"/>
  <c r="C140" i="8" s="1"/>
  <c r="C142" i="8" s="1"/>
  <c r="D127" i="8" s="1"/>
  <c r="D129" i="8" s="1"/>
  <c r="Q26" i="13" s="1"/>
  <c r="C127" i="8"/>
  <c r="C51" i="8"/>
  <c r="C56" i="8" s="1"/>
  <c r="C126" i="8"/>
  <c r="C54" i="6"/>
  <c r="C53" i="6"/>
  <c r="C132" i="6" s="1"/>
  <c r="C55" i="6"/>
  <c r="C56" i="6"/>
  <c r="D17" i="9"/>
  <c r="C129" i="8"/>
  <c r="G102" i="7"/>
  <c r="E132" i="6"/>
  <c r="C133" i="6"/>
  <c r="E133" i="6" s="1"/>
  <c r="C134" i="6"/>
  <c r="E134" i="6" s="1"/>
  <c r="C135" i="6"/>
  <c r="E135" i="6" s="1"/>
  <c r="C131" i="6"/>
  <c r="E131" i="6" s="1"/>
  <c r="E128" i="6"/>
  <c r="C57" i="6"/>
  <c r="E34" i="10"/>
  <c r="E35" i="10" s="1"/>
  <c r="D25" i="7"/>
  <c r="D27" i="7" s="1"/>
  <c r="D14" i="7"/>
  <c r="D15" i="7" s="1"/>
  <c r="F102" i="7" s="1"/>
  <c r="Q7" i="13" l="1"/>
  <c r="Q24" i="13"/>
  <c r="G40" i="7"/>
  <c r="G47" i="7"/>
  <c r="E40" i="10"/>
  <c r="C136" i="6"/>
  <c r="G108" i="7"/>
  <c r="E116" i="7" s="1"/>
  <c r="E136" i="6"/>
  <c r="B26" i="13" s="1"/>
  <c r="B24" i="13" s="1"/>
  <c r="O7" i="13"/>
  <c r="O26" i="13" s="1"/>
  <c r="O24" i="13" s="1"/>
  <c r="S7" i="13"/>
  <c r="G49" i="7" l="1"/>
  <c r="E115" i="7" s="1"/>
  <c r="E106" i="7"/>
  <c r="B7" i="13"/>
  <c r="E113" i="7"/>
  <c r="E107" i="7"/>
  <c r="E108" i="7" l="1"/>
  <c r="E110" i="7" s="1"/>
  <c r="I26" i="13" l="1"/>
  <c r="I7" i="13" l="1"/>
  <c r="I24" i="13"/>
  <c r="Q16" i="13" s="1"/>
  <c r="Q17" i="13" s="1"/>
</calcChain>
</file>

<file path=xl/sharedStrings.xml><?xml version="1.0" encoding="utf-8"?>
<sst xmlns="http://schemas.openxmlformats.org/spreadsheetml/2006/main" count="826" uniqueCount="341">
  <si>
    <t>Цена, руб.</t>
  </si>
  <si>
    <t>шт.</t>
  </si>
  <si>
    <t xml:space="preserve">Медикаменты для оказания первой медицинской помощи пострадавшим в процессе отлова людям и животным </t>
  </si>
  <si>
    <t>кг</t>
  </si>
  <si>
    <t>мл</t>
  </si>
  <si>
    <t>Амоксицилин 15%</t>
  </si>
  <si>
    <t>Левомеколь</t>
  </si>
  <si>
    <t>Иглы хирургические</t>
  </si>
  <si>
    <t>шт</t>
  </si>
  <si>
    <t>Лезвие для скальпеля</t>
  </si>
  <si>
    <t>Перчатки резиновые латексные</t>
  </si>
  <si>
    <t>пар</t>
  </si>
  <si>
    <t>Показатель</t>
  </si>
  <si>
    <t>Сумма, руб.</t>
  </si>
  <si>
    <t>Итого</t>
  </si>
  <si>
    <t>х</t>
  </si>
  <si>
    <t>1. Расчет переменных затрат на осуществление отлова и содержания безнадзорных животных</t>
  </si>
  <si>
    <t>Количество</t>
  </si>
  <si>
    <t>Плановый годовой объем работ по отлову и содержанию безнадзорных животных- всего, гол., в том числе:</t>
  </si>
  <si>
    <t>муниципальное образование "город Ижевск"</t>
  </si>
  <si>
    <t>муниципальное образование "Город Воткинск"</t>
  </si>
  <si>
    <t>муниципальное образование "Город Глазов"</t>
  </si>
  <si>
    <t>муниципальное образование "Город Можга"</t>
  </si>
  <si>
    <t>муниципальное образование "Город Сарапул"</t>
  </si>
  <si>
    <t>муниципальное образование "Алнашский район"</t>
  </si>
  <si>
    <t>муниципальное образование "Балезинский район"</t>
  </si>
  <si>
    <t>муниципальное образование "Вавожский район"</t>
  </si>
  <si>
    <t>муниципальное образование "Воткинский район"</t>
  </si>
  <si>
    <t>муниципальное образование "Глазовский район"</t>
  </si>
  <si>
    <t>муниципальное образование "Граховский район"</t>
  </si>
  <si>
    <t>муниципальное образование "Дебесский район"</t>
  </si>
  <si>
    <t>муниципальное образование "Завьяловский район"</t>
  </si>
  <si>
    <t>муниципальное образование "Игринский район"</t>
  </si>
  <si>
    <t>муниципальное образование "Камбарский район"</t>
  </si>
  <si>
    <t>муниципальное образование "Каракулинский район"</t>
  </si>
  <si>
    <t>муниципальное образование "Кезский район"</t>
  </si>
  <si>
    <t>муниципальное образование "Кизнерский район"</t>
  </si>
  <si>
    <t>муниципальное образование "Киясовский район"</t>
  </si>
  <si>
    <t>муниципальное образование "Красногорский район"</t>
  </si>
  <si>
    <t>муниципальное образование "Малопургинский район"</t>
  </si>
  <si>
    <t>муниципальное образование "Можгинский район"</t>
  </si>
  <si>
    <t>муниципальное образование "Сарапульский район"</t>
  </si>
  <si>
    <t>муниципальное образование "Селтинский район"</t>
  </si>
  <si>
    <t>муниципальное образование "Сюмсинский район"</t>
  </si>
  <si>
    <t>муниципальное образование "Увинский район"</t>
  </si>
  <si>
    <t>муниципальное образование "Шарканский район"</t>
  </si>
  <si>
    <t>муниципальное образование "Юкаменский район"</t>
  </si>
  <si>
    <t>муниципальное образование "Якшур-Бодьинский район"</t>
  </si>
  <si>
    <t>муниципальное образование "Ярский район"</t>
  </si>
  <si>
    <t>Стоимость спецсредства (ветранквил+ дротик) в расчете на одну голову , руб.</t>
  </si>
  <si>
    <t>Всего</t>
  </si>
  <si>
    <t>2. Расчет постоянных затрат на осуществление отлова безнадзорных животных</t>
  </si>
  <si>
    <t xml:space="preserve">Расчет фонда времени бригады: </t>
  </si>
  <si>
    <t xml:space="preserve">2.1. Расчет годовых расходов на обеспечения деятельности одной бригады </t>
  </si>
  <si>
    <t>Сумма руб.</t>
  </si>
  <si>
    <t xml:space="preserve">Годовой фонд оплаты труда работников бригады </t>
  </si>
  <si>
    <t>Начисления на оплату труда (30,2%)</t>
  </si>
  <si>
    <t>Дезинфекция автомобиля</t>
  </si>
  <si>
    <t>Расходные материалы</t>
  </si>
  <si>
    <t>Спецодежда</t>
  </si>
  <si>
    <t>ГСМ</t>
  </si>
  <si>
    <t>Содержание основных средств и инвентаря</t>
  </si>
  <si>
    <t xml:space="preserve">Всего </t>
  </si>
  <si>
    <t xml:space="preserve">2.1.1. Годовой фонд оплаты труда работников </t>
  </si>
  <si>
    <t>Наименование</t>
  </si>
  <si>
    <t>Среднемесячный размер оплаты труда, руб.</t>
  </si>
  <si>
    <t>Количество работников, чел.</t>
  </si>
  <si>
    <t>Количество месяцев выплат, мес.</t>
  </si>
  <si>
    <t>Справочно: Минимальная численность и трудовые функции работников бригады:</t>
  </si>
  <si>
    <t>водитель специализированного автомобиля - 1 единица;</t>
  </si>
  <si>
    <t>рабочие, осуществляющие отлов - 2 единицы.</t>
  </si>
  <si>
    <t xml:space="preserve">Для расчета годового фонда оплаты труда применен МРОТ, действующий в Удмуртской Республике с 01.01.2019 г. равный 11280,0 руб., с учетом уральского коэффициента (1,15) 12972,00 руб. </t>
  </si>
  <si>
    <t>2.2.2 Расходы на дезинфекцию автомобиля</t>
  </si>
  <si>
    <t xml:space="preserve">Норма расхода дез.средства (дезолайн Ф) на 1 обработку 1 автомобиля, л </t>
  </si>
  <si>
    <t>Площадь обработки, кв.м.</t>
  </si>
  <si>
    <t>Стоимость дезинфицирующего средства, руб./л</t>
  </si>
  <si>
    <t>Количество обработок, шт./мес.</t>
  </si>
  <si>
    <t>Количество месяцев</t>
  </si>
  <si>
    <t xml:space="preserve">Цена </t>
  </si>
  <si>
    <t>Стоимость(руб.)</t>
  </si>
  <si>
    <t>2.2.4. Расходы на спецодежду</t>
  </si>
  <si>
    <t>Летний период</t>
  </si>
  <si>
    <t>Зимний период</t>
  </si>
  <si>
    <t>Норма расхода спецодежды на 1 работника, компл./год</t>
  </si>
  <si>
    <t>Цена (куртка, брюки, рез.сапоги/валенки, перчатки), руб.</t>
  </si>
  <si>
    <t>Справочно: Нормы расхода спецодежды приняты в в расчете летний комплект 1 на год, зимний комлект 1 на 2 года (Постановление Минтруда № 70 от 31.12.1997, Приказ Минтруда России от 09.12.2014 N 997н ).</t>
  </si>
  <si>
    <t>Стоимость спецодежды принята равной средней цене приобретения по Удмуртской Республике (прайс лист)</t>
  </si>
  <si>
    <t>2.2.5. Расходы на ГСМ</t>
  </si>
  <si>
    <t xml:space="preserve">Средняя норма расхода топлива (АИ 92),  л/100 км </t>
  </si>
  <si>
    <t>Среднемесячный пробег, км</t>
  </si>
  <si>
    <t>Итого топливо</t>
  </si>
  <si>
    <t>Справочно: Нормы расхода ГСМ приняты в расчете на автомобиль марки УАЗ 2206 в соответствии с Распоряжением Минтранса России от 14.03.2008 N АМ-23-р (ред. от 14.07.2015) "О введении в действие методических рекомендаций "Нормы расхода топлив и смазочных материалов"</t>
  </si>
  <si>
    <t>2.2.6. Расходы на содержание основных средств</t>
  </si>
  <si>
    <t>Наименование основного средства</t>
  </si>
  <si>
    <t>Стоимость, руб.</t>
  </si>
  <si>
    <t>Срок плезного использования, мес.</t>
  </si>
  <si>
    <t>Норма расхода в год, руб.</t>
  </si>
  <si>
    <t>Автомобиль марки УАЗ 2206</t>
  </si>
  <si>
    <t>Пневматическая винтовка марка Лидер-3</t>
  </si>
  <si>
    <t>Пневматический пистолет марка Лидер-1 ПМ</t>
  </si>
  <si>
    <t xml:space="preserve">Видеокамера </t>
  </si>
  <si>
    <t>1.1.</t>
  </si>
  <si>
    <t>1.3.</t>
  </si>
  <si>
    <t>2.</t>
  </si>
  <si>
    <t>2.1.1.</t>
  </si>
  <si>
    <t>2.1.2.</t>
  </si>
  <si>
    <t>2.3.</t>
  </si>
  <si>
    <t>4.</t>
  </si>
  <si>
    <t>3.</t>
  </si>
  <si>
    <t>3.1.</t>
  </si>
  <si>
    <t xml:space="preserve">Сачок для отлова </t>
  </si>
  <si>
    <t>Тележка носилка</t>
  </si>
  <si>
    <t>2.2.3. Расходы на приобретение материальных запасов</t>
  </si>
  <si>
    <t>Расходные материалы (карты памяти для фотофиксации, канцтовары (журналы, бумага), табличка</t>
  </si>
  <si>
    <t>Переносные клетки для животного (в расчете 1 клетка на 1 животное)</t>
  </si>
  <si>
    <t>Ошейники, поводки, намордники (1 комплект)</t>
  </si>
  <si>
    <t>Ксилавет (50 мл)</t>
  </si>
  <si>
    <t>Золетил (5 мл)</t>
  </si>
  <si>
    <t>гр</t>
  </si>
  <si>
    <t>№п/п</t>
  </si>
  <si>
    <t>Наименование показателя</t>
  </si>
  <si>
    <t>Единица измерения</t>
  </si>
  <si>
    <t>руб.</t>
  </si>
  <si>
    <t>чел.</t>
  </si>
  <si>
    <t>Противогельминтное средство, однократного применения (Каниквантел)</t>
  </si>
  <si>
    <t>"Барс" капли</t>
  </si>
  <si>
    <t>Поликон №4</t>
  </si>
  <si>
    <t>м.</t>
  </si>
  <si>
    <t>Дезиптол (1 литр)</t>
  </si>
  <si>
    <t>Стерильные салфетки 5х75</t>
  </si>
  <si>
    <t>Вата 260гр</t>
  </si>
  <si>
    <t>Шприц 2 мл</t>
  </si>
  <si>
    <t>Листенон ампула 5мл.</t>
  </si>
  <si>
    <t>Анестефол 5% , ампула 10мл.</t>
  </si>
  <si>
    <t>Шприц 2 мл.</t>
  </si>
  <si>
    <t>Заработная плата бригады по содержанию животного без владельца в приюте (в год)</t>
  </si>
  <si>
    <t>Начисления на оплату труда (30,2%) в год</t>
  </si>
  <si>
    <t>мл.</t>
  </si>
  <si>
    <t>единица измерения</t>
  </si>
  <si>
    <t xml:space="preserve">норма </t>
  </si>
  <si>
    <t>цена за единицу</t>
  </si>
  <si>
    <t>итого</t>
  </si>
  <si>
    <t>гр. в сутки</t>
  </si>
  <si>
    <t>Цена 1 ампулы Кваниквантела объемом 2мл. - 15,20 руб</t>
  </si>
  <si>
    <t>Цена 1 ампулы капель "Барс" объемом 2мл. - 16,00 руб</t>
  </si>
  <si>
    <t>Средняя цена 1 кг. сухого корма 290,00 рублей/килограмм</t>
  </si>
  <si>
    <t>Минимальный размер оплаты труда в УР</t>
  </si>
  <si>
    <t>гол.</t>
  </si>
  <si>
    <t>ИТОГО затраты на оплату труда бригады по содержанию животного без владельца в приюте из расчета на 1 животное</t>
  </si>
  <si>
    <t>Состав бригады по содержанию животного без владельца в приюте (ветеринарный врач, санитар ветеринарный)</t>
  </si>
  <si>
    <t xml:space="preserve">Итого затрат на питание одного животного </t>
  </si>
  <si>
    <t>сухой корм</t>
  </si>
  <si>
    <t>время содержания животного в приюте</t>
  </si>
  <si>
    <t>сутки</t>
  </si>
  <si>
    <t>1</t>
  </si>
  <si>
    <t>2</t>
  </si>
  <si>
    <t>3</t>
  </si>
  <si>
    <t>4</t>
  </si>
  <si>
    <t>5</t>
  </si>
  <si>
    <t>ПОЯСНЕНИЯ</t>
  </si>
  <si>
    <t>Расходы на содержание имущества, в том числе коммунальные расходы, связь, интернет, дератизацию и пр.</t>
  </si>
  <si>
    <t>% от прямых затрат</t>
  </si>
  <si>
    <t>Расходы на дезинфекцию вольеров, приобретение инструментов, дез. средств и пр.</t>
  </si>
  <si>
    <t>Цена флакона Ксилавет объемом 50 мл - 661,00 руб.</t>
  </si>
  <si>
    <t>Цена флакона Золетила объемом 5 мл - 2 600,00 руб.</t>
  </si>
  <si>
    <t>Цена флакона Амоксицилина объемом 100 мл - 478,00 руб.</t>
  </si>
  <si>
    <t>Цена флакона Левомеколя объемом 100 мл - 63,88 руб.</t>
  </si>
  <si>
    <t>Цена ампулы Поликона объемом 0,75м - 58,4 руб.</t>
  </si>
  <si>
    <t>Цена 1 литра Дезиптола 312,50 руб.</t>
  </si>
  <si>
    <t>Цена мотка ваты объемом 260гр. - 63,13 руб.</t>
  </si>
  <si>
    <t>Натрия хлорид 0,9%</t>
  </si>
  <si>
    <t>Цена флакона Натрия хлорида 0,9% объемом 100мл - 30,74 руб.</t>
  </si>
  <si>
    <t>7</t>
  </si>
  <si>
    <t>6</t>
  </si>
  <si>
    <t>8</t>
  </si>
  <si>
    <t>9</t>
  </si>
  <si>
    <t>10</t>
  </si>
  <si>
    <t>11</t>
  </si>
  <si>
    <t>12</t>
  </si>
  <si>
    <t>13</t>
  </si>
  <si>
    <t>Цена ампулы Анестефола объемом 10 мл -249,80 руб.</t>
  </si>
  <si>
    <t>Цена ампулы Листенона объемом 5 мл - 116,00 руб.</t>
  </si>
  <si>
    <t>Итого затрат на ветеринарные препараты для эфтаназии  1-го животного</t>
  </si>
  <si>
    <t>кол-во</t>
  </si>
  <si>
    <t>Средний вес животного, подлежащего утилизации</t>
  </si>
  <si>
    <t>кг.</t>
  </si>
  <si>
    <t>Цена за утилизацию 1-го килограмма ООО "Мусороперерабатывающий завод "Удмуртвторресурс"</t>
  </si>
  <si>
    <t>%</t>
  </si>
  <si>
    <t xml:space="preserve">Количество животных, подлежащих эвтаназии </t>
  </si>
  <si>
    <t>Итого животных, подлежащих эвтаназии</t>
  </si>
  <si>
    <t>Расчет количества животных, подлежащих эвтаназии</t>
  </si>
  <si>
    <t>2.1</t>
  </si>
  <si>
    <t>2.2</t>
  </si>
  <si>
    <t>Расчет затрат на ветеринарные препараты для эвтаназии 1-го животного</t>
  </si>
  <si>
    <t>Расчет затрат на утилизацию 1-го животного</t>
  </si>
  <si>
    <t>4.1</t>
  </si>
  <si>
    <t>Расчет затрат на питание животного во время карантина</t>
  </si>
  <si>
    <t xml:space="preserve">Итого затрат на утилизацию одного животного </t>
  </si>
  <si>
    <t>ПИТАНИЕ ЖИВОТНОГО ВО ВРЕМЯ КАРАНТИНА</t>
  </si>
  <si>
    <t>5.</t>
  </si>
  <si>
    <t>5.1</t>
  </si>
  <si>
    <t>6.</t>
  </si>
  <si>
    <t>ПИТАНИЕ ЖИВОТНОГО В ПОСЛЕОПЕРАЦИОННЫЙ ПЕРИОД</t>
  </si>
  <si>
    <t>6.1</t>
  </si>
  <si>
    <t>Расчет затрат на питание животного в послеоперационный период</t>
  </si>
  <si>
    <t>Иные затраты на содержание 1-го животного без владельцев в приюте для животных</t>
  </si>
  <si>
    <t>ИТОГО ПРЯМЫЕ ЗАТРАТЫ НА СОДЕРЖАНИЕ  1-ГО ЖИВОТНОГО БЕЗ ВЛАДЕЛЬЦЕВ В ПРИЮТЕ ДЛЯ ЖИВОТНЫХ</t>
  </si>
  <si>
    <t xml:space="preserve">СОДЕРЖАНИЕ 1-го ЖИВОТНОГО БЕЗ ВЛАДЕЛЬЦЕВ В ПРИЮТЕ ДЛЯ ЖИВОТНЫХ </t>
  </si>
  <si>
    <t>РАСЧЕТ ЗАРАБОТНОЙ ПЛАТЫ БРИГАДЫ ПО СОДЕРЖАНИЮ ЖИВОТНОГО БЕЗ ВЛАДЕЛЬЦЕВ В ПРИЮТЕ</t>
  </si>
  <si>
    <t xml:space="preserve">Всего затрат на содержание 1-го животного без владельцев в приюте для животных </t>
  </si>
  <si>
    <t>Итого иные затраты на содержание 1-го животного без владельцев в приюте для животных</t>
  </si>
  <si>
    <t>Итого затрат на стерилизацию одногоживотного</t>
  </si>
  <si>
    <t>СТЕРИЛИЗАЦИЯ</t>
  </si>
  <si>
    <t xml:space="preserve">Итого затрат на маркирование одного животного </t>
  </si>
  <si>
    <t>7.</t>
  </si>
  <si>
    <t>7.1</t>
  </si>
  <si>
    <t>Расчет затрат на маркирование животного</t>
  </si>
  <si>
    <t xml:space="preserve">МАРКИРОВАНИЕ ЖИВОТНОГО </t>
  </si>
  <si>
    <t>Может быть не чип, а бирка. Стоимость бирки 42,00 рубля</t>
  </si>
  <si>
    <t>Расчет затрат на стерилизацию</t>
  </si>
  <si>
    <t>Расчет затрат на ветеринарные препараты для проведения ветеринарных мероприятий по профилактике инфекционных болезней</t>
  </si>
  <si>
    <t xml:space="preserve">Итого затрат на проведение ветеринарных мероприятий по профилактике инфекционных болезней  из расчета на одно животное </t>
  </si>
  <si>
    <t>Справочно: Нормы расхода ГСМ приняты в расчете на автомобиль марки УАЗ 2206 в соответствии с Распоряжением Минтранса России от 14.03.2008 N АМ-23-р (ред. от 14.07.2015) "О введении в действие методических рекомендаций "Нормы расхода топлив и смазочных мат</t>
  </si>
  <si>
    <t xml:space="preserve"> ПРОВЕДЕНИЕ ВЕТЕРИНАРНЫХ МЕРОПРИЯТИЙ ПО ВАКЦИНАЦИИ И ПРОФИЛАКТИКЕ ПАРАЗИТАРНЫХ И ИНФЕКЦИОННЫХ БОЛЕЗНЕЙ </t>
  </si>
  <si>
    <t>ПЕРВИЧНЫЙ ОСМОТР (0,2 часа)</t>
  </si>
  <si>
    <t xml:space="preserve">2. РАСЧЕТ СОДЕРЖАНИЯ 1-го ЖИВОТНОГО БЕЗ ВЛАДЕЛЬЦЕВ В ПРИЮТЕ ДЛЯ ЖИВОТНЫХ </t>
  </si>
  <si>
    <t>УМЕРЩВЛЕНИЕ (ЭФТАНАЗИЯ) ЖИВОТНЫХ БЕЗ ВЛАДЕЛЬЦЕВ В СЛУЧАЕ НЕОБХОДИМОСТИ ПРЕКРАЩЕНИЯ НЕПЕРЕНОСИМЫХ ФИЗИЧЕСКИХ СТРАДАНИЙ НЕЖИЗНЕСПОСОБНЫХ ЖИВОТНЫХ ПРИ НАЛИЧИИ ДОСТОВЕРНО УСТАНОВЛЕННЫХ СПЕЦИАЛИСТОМ В ОБЛАСТИ ВЕТЕРИНАРИИ ТЯЖЕЛОГО НЕИЗЛЕЧИМОГО ЗАБОЛЕВАНИЯ ЖИВОТНОГО ИЛИ НЕИЗЛЕЧИМЫХ ПОСЛЕДСТВИЙ ОСТРОЙ ТРАВМЫ, НЕСОВМЕСТИМЫХ С ЖИЗНЬЮ ЖИВОТНОГО</t>
  </si>
  <si>
    <t>3. РАСЧЕТ ЗАТРАТ НА ВОЗВРАТ ПОТЕРЯВШИХСЯ ЖИВОТНЫХ ИХ ВЛАДЕЛЬЦАМ, А ТАКЖЕ ПОИСК НОВЫХ ВЛАДЕЛЬЦЕВ ПОСТУПИВШИМ В ПРИЮТЫ ДЛЯ ЖИВОТНЫХ ЖИВОТНЫМ БЕЗ ВЛАДЕЛЬЦЕВ</t>
  </si>
  <si>
    <t>РАСЧЕТ ЗАРАБОТНОЙ ПЛАТЫ СОТРУДНИКА, ОСУЩЕСТВЛЯЮЩЕГО ПОИСК БЫВШИХ, А ТАКЖЕ  НОВЫХ ВЛАДЕЛЬЦЕВ ПОСТУПИВШИМ В ПРИЮТЫ ДЛЯ ЖИВОТНЫХ ЖИВОТНЫМ БЕЗ ВЛАДЕЛЬЦЕВ</t>
  </si>
  <si>
    <t>ИТОГО затраты на оплату труда сотрудника в год</t>
  </si>
  <si>
    <t xml:space="preserve">5. РАСЧЕТ ЗАТРАТ НА  РАЗМЕЩЕНИЕ В ПРИЮТАХ ДЛЯ ЖИВОТНЫХ И СОДЕРЖАНИЯ В НИХ ЖИВОТНЫХ БЕЗ ВЛАДЕЛЬЦЕВ, КОТОРЫЕ НЕ МОГУТ БЫТЬ ВОЗВРАЩЕНЫ НА ПРЕЖНИЕ МЕСТА ИХ ОБИТАНИЯ ДО МОМЕНТА ПЕРЕДАЧИ ТАКИХ ЖИВОТНЫХ НОВЫМ ВЛАДЕЛЬЦАМ ИЛИ НАСТУПЛЕНИЯ ЕСТЕСТВЕННОЙ СМЕРТИ ТАКИХ ЖИВОТНЫХ </t>
  </si>
  <si>
    <t>Количество животных, содержащихся в приюте (5% от планового годового объема работ по отлову и содержанию безнадзорных животных- всего, гол.)</t>
  </si>
  <si>
    <t>Обязанности сотрудника:</t>
  </si>
  <si>
    <t>1. Составление сведений о каждом из поступивших в приют для животных животном (фотографирование, составление краткого описания, даты и места обнаружения  и иные дополнительные сведения)</t>
  </si>
  <si>
    <t>2. размещение в информационно-телекоммуникационной сети "Интернет" сведений о находящихся в приютах ждя животных животных без владельцев и животных, от права собственности на которых владельцы отказались</t>
  </si>
  <si>
    <t>3. ведет документально подтвержденный учет поступления животных в приюты для животных и выбытия животных из приютов для животных</t>
  </si>
  <si>
    <t>4. обеспечивает владельцу потерявшегося животного или уполномоченному владельцем такого животного лицу возможность поиска животного путем осмотра содержащихся в приютах для животных без владельцев.</t>
  </si>
  <si>
    <t xml:space="preserve">ПИТАНИЕ ЖИВОТНОГО </t>
  </si>
  <si>
    <t>365 дней в году - 10 дней карантина - 10 дней послеоперационный период</t>
  </si>
  <si>
    <t>ИТОГО затраты на оплату труда бригады по содержанию животного без владельца в приюте из расчета на 1 животное в год</t>
  </si>
  <si>
    <t xml:space="preserve">Итого затрат на содержание животных без владельцев в приюте для животных </t>
  </si>
  <si>
    <t>Справочно: Плановый количество  животных без владельцев поступивших в приют- всего, гол.</t>
  </si>
  <si>
    <t xml:space="preserve">Норма расхода дез.средства (легроцид) на 1 обработку 1 автомобиля, л </t>
  </si>
  <si>
    <t xml:space="preserve">Расходные материалы на видеофиксацию </t>
  </si>
  <si>
    <t>Количество животных, содержащихся в приюте (95% от планового годового объема работ по отлову и содержанию безнадзорных животных- всего, гол.)</t>
  </si>
  <si>
    <t>СХЕМА  Методики по осуществлению деятельности по обращению с животными без владельцев</t>
  </si>
  <si>
    <t xml:space="preserve">отлов </t>
  </si>
  <si>
    <t xml:space="preserve">вакцинация </t>
  </si>
  <si>
    <t>стерилизация</t>
  </si>
  <si>
    <t xml:space="preserve">питание </t>
  </si>
  <si>
    <t xml:space="preserve">передача в приют </t>
  </si>
  <si>
    <t xml:space="preserve">учет </t>
  </si>
  <si>
    <t xml:space="preserve">уход </t>
  </si>
  <si>
    <t>Сумма расходов на 1-го животного без владельца составляет, рублей</t>
  </si>
  <si>
    <t xml:space="preserve">Общая сумма расходов, рублей  </t>
  </si>
  <si>
    <t xml:space="preserve">Количество животных без владельцев, подлежащее отлову (гол.) </t>
  </si>
  <si>
    <t xml:space="preserve">транспортировка на прежнее место   </t>
  </si>
  <si>
    <t>питание, содержание</t>
  </si>
  <si>
    <t xml:space="preserve">Процентное распределения количества животных при расчете субвенции от общего поголовья, подлежащего отлову  </t>
  </si>
  <si>
    <t>1. РАСЧЕТ СТОИМОСТИ ОТЛОВА 1 ЖИВОТНОГО БЕЗ ВЛАДЕЛЬЦЕВ, В ТОМ ЧИСЛЕ ТРАНСПОРТИРОВКА И НЕМЕДЛЕННАЯ ПЕРЕДАЧА В ПРИЮТ ДЛЯ ЖИВОТНОГО</t>
  </si>
  <si>
    <t xml:space="preserve">1.1. РАСЧЕТ ПЕРЕМЕННЫХ ЗАТРАТ НА ОСУЩЕСТВЛЕНИЕ ОТЛОВА ЖИВОТНЫХ БЕЗ ВЛАДЕЛЬЦЕВ </t>
  </si>
  <si>
    <t>ИТОГО ИНЫЕ ЗАТРАТЫ НА СОДЕРЖАНИЕ 1-ГО ЖИВОТНОГО БЕЗ ВЛАДЕЛЬЦЕВ В ПРИЮТЕ ДЛЯ ЖИВОТНЫХ</t>
  </si>
  <si>
    <t xml:space="preserve">1.2. РАСЧЕТ ПОСТОЯННЫХ ЗАТРАТ НА ОСУЩЕСТВЛЕНИЕ ОТЛОВА ЖИВОТНЫХ БЕЗ ВЛАДЕЛЬЦЕВ, В ТОМ ЧИСЛЕ ИХ ТРАСПОРТИРОВКУ  И НЕМЕДЛЕННУЮ ПЕРЕДАЧУ В ПРИЮТЫ ДЛЯ ЖИВОТНЫХ  </t>
  </si>
  <si>
    <t>1.2.</t>
  </si>
  <si>
    <t xml:space="preserve">1.2.1. Расчет годовых расходов на обеспечения деятельности одной бригады </t>
  </si>
  <si>
    <t>в том числе:</t>
  </si>
  <si>
    <t>2.1.3.</t>
  </si>
  <si>
    <t>2.1.4.</t>
  </si>
  <si>
    <t>2.1.5.</t>
  </si>
  <si>
    <t>2.1.6.</t>
  </si>
  <si>
    <t>2.1.7.</t>
  </si>
  <si>
    <t>2.1.3 Расходы на дезинфекцию автомобиля</t>
  </si>
  <si>
    <t>2.1.4. Расходы на приобретение материальных запасов</t>
  </si>
  <si>
    <t>2.1.5. Расходы на спецодежду</t>
  </si>
  <si>
    <t>2.1.6. Расходы на ГСМ</t>
  </si>
  <si>
    <t>2.1.7. Расходы на содержание основных средств</t>
  </si>
  <si>
    <t>Количество животных без владельцев, после эвтаназии- всего, гол.</t>
  </si>
  <si>
    <t xml:space="preserve">Количество работников </t>
  </si>
  <si>
    <t>Затраты на оплату труда работника  из расчета на 1 голову</t>
  </si>
  <si>
    <t>4. РАСЧЕТ СТОИМОСТИ ВОЗВРАТА БЕЗ ВЛАДЕЛЬЦЕВ, НЕ ПРОЯВЛЯЮЩИХ НЕМОТИВИРОВАННОЙ АГРЕССИВНОСТИ, НА ПРЕЖНИЕ МЕСТА ИХ ОБИТАНИЯ, ДО МЕМОНТА ПЕРЕДАЧИ ТАКИХ ЖИВОТНЫХ НОВЫМ ВЛАДЕЛЬЦАМ ИЛИ НАСТУПЛЕНИЯ ЕСТЕСТВЕННОЙ СМЕРТИ ТАКИХ ЖИВОТНЫХ</t>
  </si>
  <si>
    <t>Среднее расстояние от г. Ижевска до других городов УР или районных центров 110 км. Дорога (туда-обратно со средней скоростью автомобиля 70 км/ч) =3 ч., отлов 1 животного= 1 ч.*6гол./2чел.= 2,5 ч., доставка до места ветеринарного осмотра, осмотр, оформлени</t>
  </si>
  <si>
    <t>5.1. РАСЧЕТ ЗАРАБОТНОЙ ПЛАТЫ БРИГАДЫ ПО СОДЕРЖАНИЮ ЖИВОТНОГО БЕЗ ВЛАДЕЛЬЦЕВ В ПРИЮТЕ</t>
  </si>
  <si>
    <t xml:space="preserve">Количество месяцев содержания </t>
  </si>
  <si>
    <t>Годовой ФОТ с отчислениями/количество животных содержащихся в приюте/количество рабочих дней*количество дней содержания животного в приюте (20 дней)</t>
  </si>
  <si>
    <t xml:space="preserve">Pо -                   Отлов животных </t>
  </si>
  <si>
    <t xml:space="preserve">Pсу -                                                                                                                             Содержание животных без владельцев в приютах для животных </t>
  </si>
  <si>
    <t xml:space="preserve">Рт -                                                 Возврат животных на прежние места обитания  </t>
  </si>
  <si>
    <t xml:space="preserve">Рп -                                                                Содержание животных, которые не могут быть возвращены на прежнее места обитания  </t>
  </si>
  <si>
    <t xml:space="preserve">Мероприятия при осуществлении деятельности по обращению с животными без владельцев </t>
  </si>
  <si>
    <t xml:space="preserve">парази-тарка </t>
  </si>
  <si>
    <t xml:space="preserve">вакцина-ция </t>
  </si>
  <si>
    <t xml:space="preserve">марки-ровка </t>
  </si>
  <si>
    <t>содержа-ние во время карантина 20 дн.</t>
  </si>
  <si>
    <t>поиск владельцев</t>
  </si>
  <si>
    <t xml:space="preserve"> транспортировка до приюта</t>
  </si>
  <si>
    <t>эвтаназия</t>
  </si>
  <si>
    <t>утилизация</t>
  </si>
  <si>
    <t>первич-ный осмотр</t>
  </si>
  <si>
    <t xml:space="preserve">Вакцинация против бешенства </t>
  </si>
  <si>
    <t>Цена 1 ампулы капель "Рабикан" объемом 2мл. - 24,63 руб</t>
  </si>
  <si>
    <t xml:space="preserve">Клипсы несмываемыми метками </t>
  </si>
  <si>
    <t>Справочно: Плановые количество  животных без владельцев провакцинированных- всего, гол.</t>
  </si>
  <si>
    <t>Количество после умервщлению,возврата владельцам и размещенных к содержанию</t>
  </si>
  <si>
    <t xml:space="preserve">Рв -                       Возврат потерявшихся животных их владельцам        </t>
  </si>
  <si>
    <t>Состав бригады по содержанию животного без владельца в приюте (ветеринарный врач, рабочий)</t>
  </si>
  <si>
    <t xml:space="preserve">в том числе: </t>
  </si>
  <si>
    <t>затраты на умерщвление</t>
  </si>
  <si>
    <t>(365 дн. * 6 гол./день = 2 190 гол./год)</t>
  </si>
  <si>
    <t>Среднее расстояние от г. Ижевска до других городов УР или районных центров 125 км. Дорога (туда-обратно со средней скоростью автомобиля 70 км/ч) =3 ч., отлов 1 животного= 1 ч.*6гол./2чел.= 2,5 ч., доставка до места ветеринарного осмотра, осмотр, оформление</t>
  </si>
  <si>
    <t>Справочно: полезная площадь автомобиля УАЗ 2206  1,5м*1,1м=1,65 кв.м</t>
  </si>
  <si>
    <t>Справочно: нагрузка на 1 бригаду, гол./год (12 мес.)</t>
  </si>
  <si>
    <t>Справочно: нагрузка на 1 бригаду, гол./год (6 мес.)</t>
  </si>
  <si>
    <t>При работе 12 мес.</t>
  </si>
  <si>
    <t>При работе 6 мес.</t>
  </si>
  <si>
    <t>СВОДНАЯ ТАБЛИЦА ПО РАСЧЕТУ СТОИМОСТИ ОТЛОВА 1 ЖИВОТНОГО БЕЗ ВЛАДЕЛЬЦЕВ, В ТОМ ЧИСЛЕ ТРАНСПОРТИРОВКА И НЕМЕДЛЕННАЯ ПЕРЕДАЧА В ПРИЮТ ДЛЯ ЖИВОТНОГО</t>
  </si>
  <si>
    <t xml:space="preserve">Затраты на оплату труда работников бригады </t>
  </si>
  <si>
    <t>Кол-во голов</t>
  </si>
  <si>
    <t>Итого на 1 голову</t>
  </si>
  <si>
    <t>Стоимость разовой дезинфекции 1 автомобиля, руб.</t>
  </si>
  <si>
    <t>Стоимость дезинфекции 1 автомобиля в расчете на 1 голову, руб.</t>
  </si>
  <si>
    <t>Кол-во голов, подлежащих отлову в за 1 день</t>
  </si>
  <si>
    <t>Затраты на приобретение материальных запасов, руб./год</t>
  </si>
  <si>
    <t>Кол-во дней</t>
  </si>
  <si>
    <t>Затраты на приобретение материальных запасов, руб./день</t>
  </si>
  <si>
    <t>Затраты на приобретение материальных запасов, руб./1 голова</t>
  </si>
  <si>
    <t>Затраты на приобретение ГСМ, руб./год</t>
  </si>
  <si>
    <t>Затраты на приобретение ГСМ, руб./день</t>
  </si>
  <si>
    <t>Затраты на приобретение ГСМ руб./1 голова</t>
  </si>
  <si>
    <t>Иные затраты на умерщвление 1-го животного без владельцев в приюте для животных</t>
  </si>
  <si>
    <t>ИТОГО ИНЫЕ ЗАТРАТЫ НАУМЕРЩВЛЕНИЕ 1-ГО ЖИВОТНОГО БЕЗ ВЛАДЕЛЬЦЕВ В ПРИЮТЕ ДЛЯ ЖИВОТНЫХ</t>
  </si>
  <si>
    <t>Всего затрат на умерщвление 1-го животного без владельцев</t>
  </si>
  <si>
    <t>Справочно: нагрузка на 1 бригаду, гол./год (5 мес.)</t>
  </si>
  <si>
    <t>При работе 5 мес.</t>
  </si>
  <si>
    <t>СВОДНАЯ ТАБЛИЦА ПО РАСЧЕТУ СТОИМОСТИ ВОЗВРАТА БЕЗ ВЛАДЕЛЬЦЕВ, НЕ ПРОЯВЛЯЮЩИХ НЕМОТИВИРОВАННОЙ АГРЕССИВНОСТИ, НА ПРЕЖНИЕ МЕСТА ИХ ОБИТАНИЯ, ДО МЕМОНТА ПЕРЕДАЧИ ТАКИХ ЖИВОТНЫХ НОВЫМ ВЛАДЕЛЬЦАМ ИЛИ НАСТУПЛЕНИЯ ЕСТЕСТВЕННОЙ СМЕРТИ ТАКИХ ЖИВОТНЫХ</t>
  </si>
  <si>
    <t xml:space="preserve">Для расчета годового фонда оплаты труда применен МРОТ, действующий в Удмуртской Республике с 01.01.2020 г. равный 12 130,0 руб., с учетом уральского коэффициента (1,15) 13 949,50 руб. </t>
  </si>
  <si>
    <t>Норматив</t>
  </si>
  <si>
    <t>Всего затрат на содержание 1-го животного без владельцев в приюте для животных (в год)</t>
  </si>
  <si>
    <t>Всего затрат на содержание 1-го животного без владельцев в приюте для животных (в день)</t>
  </si>
  <si>
    <t>Материальные запасы</t>
  </si>
  <si>
    <t>материальные запасы</t>
  </si>
  <si>
    <t xml:space="preserve">умерщвление (эвтаназия)  и утилизация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</si>
</sst>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#,##0_ ;\-#,##0\ "/>
    <numFmt numFmtId="166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23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6" fillId="0" borderId="0"/>
    <xf numFmtId="0" fontId="3" fillId="0" borderId="0"/>
    <xf numFmtId="0" fontId="24" fillId="0" borderId="0"/>
    <xf numFmtId="43" fontId="6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20" applyFont="1"/>
    <xf numFmtId="0" fontId="3" fillId="0" borderId="0" xfId="20"/>
    <xf numFmtId="0" fontId="4" fillId="0" borderId="1" xfId="20" applyFont="1" applyBorder="1" applyAlignment="1">
      <alignment wrapText="1"/>
    </xf>
    <xf numFmtId="0" fontId="4" fillId="0" borderId="1" xfId="20" applyFont="1" applyBorder="1" applyAlignment="1">
      <alignment horizontal="center"/>
    </xf>
    <xf numFmtId="0" fontId="5" fillId="0" borderId="0" xfId="20" applyFont="1"/>
    <xf numFmtId="0" fontId="4" fillId="0" borderId="1" xfId="20" applyFont="1" applyBorder="1" applyAlignment="1">
      <alignment horizontal="center" wrapText="1"/>
    </xf>
    <xf numFmtId="0" fontId="9" fillId="0" borderId="0" xfId="20" applyNumberFormat="1" applyFont="1" applyAlignment="1">
      <alignment horizontal="justify" wrapText="1"/>
    </xf>
    <xf numFmtId="0" fontId="9" fillId="0" borderId="0" xfId="20" applyFont="1"/>
    <xf numFmtId="4" fontId="5" fillId="0" borderId="0" xfId="20" applyNumberFormat="1" applyFont="1" applyBorder="1"/>
    <xf numFmtId="0" fontId="9" fillId="0" borderId="0" xfId="20" applyFont="1" applyAlignment="1">
      <alignment horizontal="justify" wrapText="1"/>
    </xf>
    <xf numFmtId="0" fontId="7" fillId="0" borderId="0" xfId="20" applyFont="1" applyAlignment="1">
      <alignment vertical="top"/>
    </xf>
    <xf numFmtId="0" fontId="10" fillId="0" borderId="0" xfId="20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49" fontId="1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wrapText="1"/>
    </xf>
    <xf numFmtId="49" fontId="1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4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2" fontId="19" fillId="0" borderId="0" xfId="0" applyNumberFormat="1" applyFont="1" applyFill="1" applyAlignment="1">
      <alignment wrapText="1"/>
    </xf>
    <xf numFmtId="0" fontId="19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49" fontId="15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9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49" fontId="13" fillId="0" borderId="0" xfId="0" applyNumberFormat="1" applyFont="1" applyFill="1"/>
    <xf numFmtId="0" fontId="2" fillId="0" borderId="2" xfId="0" applyFont="1" applyFill="1" applyBorder="1" applyAlignment="1">
      <alignment vertical="top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/>
    <xf numFmtId="0" fontId="18" fillId="0" borderId="0" xfId="0" applyFont="1" applyFill="1" applyAlignment="1">
      <alignment wrapText="1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49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/>
    </xf>
    <xf numFmtId="49" fontId="14" fillId="0" borderId="4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7" fillId="0" borderId="0" xfId="20" applyFont="1"/>
    <xf numFmtId="0" fontId="14" fillId="0" borderId="0" xfId="20" applyFont="1"/>
    <xf numFmtId="0" fontId="3" fillId="0" borderId="0" xfId="20" applyFont="1"/>
    <xf numFmtId="4" fontId="14" fillId="0" borderId="0" xfId="20" applyNumberFormat="1" applyFont="1" applyBorder="1"/>
    <xf numFmtId="0" fontId="7" fillId="0" borderId="0" xfId="20" applyFont="1" applyAlignment="1">
      <alignment horizontal="justify" wrapText="1"/>
    </xf>
    <xf numFmtId="0" fontId="17" fillId="0" borderId="0" xfId="20" applyFont="1" applyBorder="1" applyAlignment="1">
      <alignment horizontal="center"/>
    </xf>
    <xf numFmtId="2" fontId="14" fillId="0" borderId="2" xfId="0" applyNumberFormat="1" applyFont="1" applyFill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4" fontId="14" fillId="13" borderId="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7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wrapText="1"/>
    </xf>
    <xf numFmtId="4" fontId="15" fillId="0" borderId="0" xfId="0" applyNumberFormat="1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left" vertical="center" wrapText="1"/>
    </xf>
    <xf numFmtId="4" fontId="15" fillId="0" borderId="0" xfId="0" applyNumberFormat="1" applyFont="1" applyFill="1" applyAlignment="1">
      <alignment vertical="center" wrapText="1"/>
    </xf>
    <xf numFmtId="3" fontId="14" fillId="0" borderId="2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Alignment="1">
      <alignment wrapText="1"/>
    </xf>
    <xf numFmtId="0" fontId="17" fillId="0" borderId="0" xfId="21" applyFont="1" applyAlignment="1">
      <alignment wrapText="1"/>
    </xf>
    <xf numFmtId="0" fontId="24" fillId="0" borderId="0" xfId="21"/>
    <xf numFmtId="0" fontId="17" fillId="0" borderId="0" xfId="21" applyFont="1" applyAlignment="1">
      <alignment horizontal="center" vertical="center" wrapText="1"/>
    </xf>
    <xf numFmtId="0" fontId="17" fillId="0" borderId="1" xfId="21" applyFont="1" applyBorder="1" applyAlignment="1">
      <alignment horizontal="center" vertical="center" wrapText="1"/>
    </xf>
    <xf numFmtId="0" fontId="17" fillId="0" borderId="0" xfId="21" applyFont="1" applyBorder="1" applyAlignment="1">
      <alignment horizontal="center" vertical="center" wrapText="1"/>
    </xf>
    <xf numFmtId="0" fontId="17" fillId="0" borderId="1" xfId="21" applyFont="1" applyFill="1" applyBorder="1" applyAlignment="1">
      <alignment horizontal="center" vertical="center" wrapText="1"/>
    </xf>
    <xf numFmtId="0" fontId="17" fillId="0" borderId="0" xfId="21" applyFont="1" applyFill="1" applyAlignment="1">
      <alignment horizontal="center" vertical="center" wrapText="1"/>
    </xf>
    <xf numFmtId="0" fontId="24" fillId="0" borderId="0" xfId="21" applyAlignment="1">
      <alignment horizontal="center"/>
    </xf>
    <xf numFmtId="0" fontId="17" fillId="0" borderId="0" xfId="21" applyFont="1"/>
    <xf numFmtId="2" fontId="17" fillId="0" borderId="1" xfId="21" applyNumberFormat="1" applyFont="1" applyBorder="1" applyAlignment="1">
      <alignment horizontal="center" vertical="center" wrapText="1"/>
    </xf>
    <xf numFmtId="4" fontId="17" fillId="0" borderId="1" xfId="21" applyNumberFormat="1" applyFont="1" applyFill="1" applyBorder="1" applyAlignment="1">
      <alignment horizontal="center" vertical="center" wrapText="1"/>
    </xf>
    <xf numFmtId="4" fontId="20" fillId="13" borderId="0" xfId="0" applyNumberFormat="1" applyFont="1" applyFill="1" applyAlignment="1">
      <alignment vertical="center" wrapText="1"/>
    </xf>
    <xf numFmtId="43" fontId="17" fillId="14" borderId="1" xfId="21" applyNumberFormat="1" applyFont="1" applyFill="1" applyBorder="1" applyAlignment="1">
      <alignment horizontal="right" vertical="center" wrapText="1"/>
    </xf>
    <xf numFmtId="4" fontId="17" fillId="14" borderId="1" xfId="21" applyNumberFormat="1" applyFont="1" applyFill="1" applyBorder="1" applyAlignment="1">
      <alignment horizontal="right" vertical="center" wrapText="1"/>
    </xf>
    <xf numFmtId="3" fontId="17" fillId="14" borderId="1" xfId="21" applyNumberFormat="1" applyFont="1" applyFill="1" applyBorder="1" applyAlignment="1">
      <alignment horizontal="right" vertical="center" wrapText="1"/>
    </xf>
    <xf numFmtId="0" fontId="25" fillId="0" borderId="0" xfId="21" applyFont="1" applyAlignment="1">
      <alignment horizontal="center" vertical="center" wrapText="1"/>
    </xf>
    <xf numFmtId="9" fontId="25" fillId="0" borderId="2" xfId="21" applyNumberFormat="1" applyFont="1" applyBorder="1" applyAlignment="1">
      <alignment horizontal="center" vertical="center" wrapText="1"/>
    </xf>
    <xf numFmtId="0" fontId="17" fillId="0" borderId="0" xfId="21" applyFont="1" applyFill="1" applyBorder="1" applyAlignment="1">
      <alignment horizontal="center" vertical="center" wrapText="1"/>
    </xf>
    <xf numFmtId="9" fontId="25" fillId="0" borderId="0" xfId="21" applyNumberFormat="1" applyFont="1" applyBorder="1" applyAlignment="1">
      <alignment vertical="center" wrapText="1"/>
    </xf>
    <xf numFmtId="0" fontId="17" fillId="0" borderId="5" xfId="21" applyFont="1" applyBorder="1" applyAlignment="1">
      <alignment horizontal="center" vertical="center" wrapText="1"/>
    </xf>
    <xf numFmtId="0" fontId="14" fillId="15" borderId="2" xfId="20" applyFont="1" applyFill="1" applyBorder="1" applyAlignment="1">
      <alignment wrapText="1"/>
    </xf>
    <xf numFmtId="4" fontId="15" fillId="13" borderId="0" xfId="0" applyNumberFormat="1" applyFont="1" applyFill="1" applyAlignment="1">
      <alignment vertical="center" wrapText="1"/>
    </xf>
    <xf numFmtId="4" fontId="15" fillId="13" borderId="0" xfId="0" applyNumberFormat="1" applyFont="1" applyFill="1" applyAlignment="1">
      <alignment horizontal="center" vertical="center" wrapText="1"/>
    </xf>
    <xf numFmtId="14" fontId="7" fillId="0" borderId="0" xfId="20" applyNumberFormat="1" applyFont="1"/>
    <xf numFmtId="0" fontId="7" fillId="15" borderId="2" xfId="20" applyFont="1" applyFill="1" applyBorder="1" applyAlignment="1">
      <alignment wrapText="1"/>
    </xf>
    <xf numFmtId="0" fontId="7" fillId="15" borderId="2" xfId="20" applyFont="1" applyFill="1" applyBorder="1" applyAlignment="1">
      <alignment horizontal="center" wrapText="1"/>
    </xf>
    <xf numFmtId="0" fontId="14" fillId="15" borderId="2" xfId="20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7" fillId="0" borderId="0" xfId="21" applyNumberFormat="1" applyFont="1" applyAlignment="1">
      <alignment horizontal="center" vertical="center" wrapText="1"/>
    </xf>
    <xf numFmtId="0" fontId="17" fillId="0" borderId="6" xfId="21" applyFont="1" applyBorder="1" applyAlignment="1">
      <alignment wrapText="1"/>
    </xf>
    <xf numFmtId="0" fontId="17" fillId="0" borderId="5" xfId="21" applyFont="1" applyBorder="1" applyAlignment="1">
      <alignment wrapText="1"/>
    </xf>
    <xf numFmtId="0" fontId="17" fillId="0" borderId="7" xfId="21" applyFont="1" applyBorder="1" applyAlignment="1">
      <alignment wrapText="1"/>
    </xf>
    <xf numFmtId="0" fontId="17" fillId="0" borderId="5" xfId="21" applyFont="1" applyFill="1" applyBorder="1" applyAlignment="1">
      <alignment horizontal="center" vertical="center" wrapText="1"/>
    </xf>
    <xf numFmtId="0" fontId="17" fillId="0" borderId="8" xfId="21" applyFont="1" applyBorder="1" applyAlignment="1">
      <alignment horizontal="center" vertical="center" wrapText="1"/>
    </xf>
    <xf numFmtId="0" fontId="17" fillId="0" borderId="7" xfId="21" applyFont="1" applyBorder="1" applyAlignment="1">
      <alignment horizontal="center" vertical="center" wrapText="1"/>
    </xf>
    <xf numFmtId="4" fontId="17" fillId="0" borderId="0" xfId="21" applyNumberFormat="1" applyFont="1" applyBorder="1" applyAlignment="1">
      <alignment vertical="center" wrapText="1"/>
    </xf>
    <xf numFmtId="0" fontId="17" fillId="13" borderId="1" xfId="21" applyFont="1" applyFill="1" applyBorder="1" applyAlignment="1">
      <alignment horizontal="center" vertical="center" wrapText="1"/>
    </xf>
    <xf numFmtId="2" fontId="17" fillId="0" borderId="0" xfId="21" applyNumberFormat="1" applyFont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2" fontId="7" fillId="15" borderId="2" xfId="20" applyNumberFormat="1" applyFont="1" applyFill="1" applyBorder="1" applyAlignment="1">
      <alignment wrapText="1"/>
    </xf>
    <xf numFmtId="2" fontId="14" fillId="15" borderId="2" xfId="20" applyNumberFormat="1" applyFont="1" applyFill="1" applyBorder="1" applyAlignment="1">
      <alignment wrapText="1"/>
    </xf>
    <xf numFmtId="4" fontId="20" fillId="0" borderId="0" xfId="0" applyNumberFormat="1" applyFont="1" applyFill="1" applyAlignment="1">
      <alignment vertical="center" wrapText="1"/>
    </xf>
    <xf numFmtId="0" fontId="7" fillId="0" borderId="0" xfId="20" applyFont="1" applyAlignment="1">
      <alignment horizontal="justify" wrapText="1"/>
    </xf>
    <xf numFmtId="0" fontId="7" fillId="0" borderId="0" xfId="20" applyNumberFormat="1" applyFont="1" applyAlignment="1">
      <alignment horizontal="justify" wrapText="1"/>
    </xf>
    <xf numFmtId="0" fontId="9" fillId="0" borderId="0" xfId="20" applyFont="1" applyAlignment="1">
      <alignment horizontal="justify" wrapText="1"/>
    </xf>
    <xf numFmtId="0" fontId="9" fillId="0" borderId="0" xfId="20" applyNumberFormat="1" applyFont="1" applyAlignment="1">
      <alignment horizontal="justify" wrapText="1"/>
    </xf>
    <xf numFmtId="3" fontId="14" fillId="15" borderId="2" xfId="20" applyNumberFormat="1" applyFont="1" applyFill="1" applyBorder="1" applyAlignment="1">
      <alignment wrapText="1"/>
    </xf>
    <xf numFmtId="3" fontId="7" fillId="15" borderId="2" xfId="20" applyNumberFormat="1" applyFont="1" applyFill="1" applyBorder="1" applyAlignment="1">
      <alignment wrapText="1"/>
    </xf>
    <xf numFmtId="0" fontId="7" fillId="15" borderId="2" xfId="20" applyFont="1" applyFill="1" applyBorder="1" applyAlignment="1">
      <alignment vertical="top" wrapText="1"/>
    </xf>
    <xf numFmtId="0" fontId="7" fillId="15" borderId="2" xfId="20" applyFont="1" applyFill="1" applyBorder="1" applyAlignment="1">
      <alignment horizontal="right" wrapText="1"/>
    </xf>
    <xf numFmtId="0" fontId="7" fillId="15" borderId="2" xfId="20" applyFont="1" applyFill="1" applyBorder="1" applyAlignment="1">
      <alignment horizontal="center" vertical="center" wrapText="1"/>
    </xf>
    <xf numFmtId="14" fontId="7" fillId="0" borderId="0" xfId="20" applyNumberFormat="1" applyFont="1" applyAlignment="1">
      <alignment horizontal="right"/>
    </xf>
    <xf numFmtId="0" fontId="4" fillId="0" borderId="0" xfId="20" applyFont="1" applyAlignment="1">
      <alignment vertical="center"/>
    </xf>
    <xf numFmtId="0" fontId="3" fillId="0" borderId="0" xfId="20" applyAlignment="1">
      <alignment vertical="center"/>
    </xf>
    <xf numFmtId="43" fontId="7" fillId="0" borderId="2" xfId="22" applyFont="1" applyBorder="1" applyAlignment="1">
      <alignment horizontal="right"/>
    </xf>
    <xf numFmtId="43" fontId="7" fillId="0" borderId="2" xfId="22" applyFont="1" applyBorder="1" applyAlignment="1">
      <alignment horizontal="center"/>
    </xf>
    <xf numFmtId="43" fontId="14" fillId="0" borderId="2" xfId="22" applyFont="1" applyBorder="1" applyAlignment="1"/>
    <xf numFmtId="43" fontId="14" fillId="0" borderId="2" xfId="22" applyFont="1" applyBorder="1" applyAlignment="1">
      <alignment horizontal="center"/>
    </xf>
    <xf numFmtId="0" fontId="14" fillId="15" borderId="2" xfId="20" applyFont="1" applyFill="1" applyBorder="1" applyAlignment="1">
      <alignment horizontal="right" wrapText="1"/>
    </xf>
    <xf numFmtId="2" fontId="7" fillId="0" borderId="14" xfId="20" applyNumberFormat="1" applyFont="1" applyBorder="1"/>
    <xf numFmtId="49" fontId="7" fillId="0" borderId="0" xfId="20" applyNumberFormat="1" applyFont="1"/>
    <xf numFmtId="49" fontId="7" fillId="0" borderId="0" xfId="20" applyNumberFormat="1" applyFont="1" applyAlignment="1">
      <alignment horizontal="right"/>
    </xf>
    <xf numFmtId="0" fontId="4" fillId="0" borderId="14" xfId="20" applyFont="1" applyBorder="1"/>
    <xf numFmtId="4" fontId="4" fillId="0" borderId="14" xfId="20" applyNumberFormat="1" applyFont="1" applyBorder="1"/>
    <xf numFmtId="43" fontId="7" fillId="0" borderId="9" xfId="22" applyFont="1" applyBorder="1" applyAlignment="1">
      <alignment horizontal="center"/>
    </xf>
    <xf numFmtId="43" fontId="14" fillId="0" borderId="9" xfId="22" applyFont="1" applyBorder="1" applyAlignment="1"/>
    <xf numFmtId="0" fontId="7" fillId="0" borderId="15" xfId="20" applyFont="1" applyBorder="1" applyAlignment="1">
      <alignment horizontal="center" vertical="center"/>
    </xf>
    <xf numFmtId="2" fontId="14" fillId="0" borderId="14" xfId="20" applyNumberFormat="1" applyFont="1" applyBorder="1"/>
    <xf numFmtId="4" fontId="14" fillId="0" borderId="0" xfId="0" applyNumberFormat="1" applyFont="1" applyFill="1" applyAlignment="1">
      <alignment horizontal="left" wrapText="1"/>
    </xf>
    <xf numFmtId="4" fontId="13" fillId="0" borderId="0" xfId="0" applyNumberFormat="1" applyFont="1" applyFill="1" applyBorder="1" applyAlignment="1">
      <alignment wrapText="1"/>
    </xf>
    <xf numFmtId="164" fontId="27" fillId="17" borderId="0" xfId="20" applyNumberFormat="1" applyFont="1" applyFill="1" applyAlignment="1">
      <alignment horizontal="center"/>
    </xf>
    <xf numFmtId="0" fontId="13" fillId="0" borderId="2" xfId="0" applyFont="1" applyFill="1" applyBorder="1" applyAlignment="1">
      <alignment horizontal="left" vertical="top"/>
    </xf>
    <xf numFmtId="0" fontId="26" fillId="0" borderId="0" xfId="20" applyFont="1" applyAlignment="1">
      <alignment wrapText="1"/>
    </xf>
    <xf numFmtId="0" fontId="15" fillId="0" borderId="0" xfId="20" applyNumberFormat="1" applyFont="1" applyAlignment="1">
      <alignment horizontal="justify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4" fontId="14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right" vertical="center"/>
    </xf>
    <xf numFmtId="166" fontId="14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center" wrapText="1"/>
    </xf>
    <xf numFmtId="4" fontId="24" fillId="0" borderId="0" xfId="21" applyNumberFormat="1"/>
    <xf numFmtId="4" fontId="17" fillId="0" borderId="12" xfId="21" applyNumberFormat="1" applyFont="1" applyBorder="1" applyAlignment="1">
      <alignment vertical="center" wrapText="1"/>
    </xf>
    <xf numFmtId="0" fontId="14" fillId="0" borderId="0" xfId="20" applyFont="1" applyFill="1" applyBorder="1" applyAlignment="1">
      <alignment wrapText="1"/>
    </xf>
    <xf numFmtId="4" fontId="14" fillId="0" borderId="0" xfId="20" applyNumberFormat="1" applyFont="1" applyFill="1" applyBorder="1" applyAlignment="1">
      <alignment wrapText="1"/>
    </xf>
    <xf numFmtId="0" fontId="19" fillId="15" borderId="2" xfId="20" applyFont="1" applyFill="1" applyBorder="1" applyAlignment="1">
      <alignment wrapText="1"/>
    </xf>
    <xf numFmtId="3" fontId="19" fillId="15" borderId="2" xfId="20" applyNumberFormat="1" applyFont="1" applyFill="1" applyBorder="1" applyAlignment="1">
      <alignment wrapText="1"/>
    </xf>
    <xf numFmtId="0" fontId="19" fillId="15" borderId="2" xfId="20" applyFont="1" applyFill="1" applyBorder="1" applyAlignment="1">
      <alignment vertical="top" wrapText="1"/>
    </xf>
    <xf numFmtId="0" fontId="7" fillId="0" borderId="2" xfId="20" applyFont="1" applyFill="1" applyBorder="1" applyAlignment="1">
      <alignment wrapText="1"/>
    </xf>
    <xf numFmtId="4" fontId="7" fillId="0" borderId="2" xfId="20" applyNumberFormat="1" applyFont="1" applyFill="1" applyBorder="1" applyAlignment="1">
      <alignment wrapText="1"/>
    </xf>
    <xf numFmtId="0" fontId="7" fillId="0" borderId="0" xfId="20" applyFont="1" applyAlignment="1">
      <alignment horizontal="left"/>
    </xf>
    <xf numFmtId="0" fontId="3" fillId="0" borderId="0" xfId="20" applyAlignment="1">
      <alignment horizontal="left"/>
    </xf>
    <xf numFmtId="0" fontId="29" fillId="0" borderId="0" xfId="20" applyFont="1" applyAlignment="1">
      <alignment horizontal="left"/>
    </xf>
    <xf numFmtId="166" fontId="7" fillId="15" borderId="2" xfId="20" applyNumberFormat="1" applyFont="1" applyFill="1" applyBorder="1" applyAlignment="1">
      <alignment wrapText="1"/>
    </xf>
    <xf numFmtId="4" fontId="15" fillId="17" borderId="0" xfId="0" applyNumberFormat="1" applyFont="1" applyFill="1" applyAlignment="1">
      <alignment horizontal="center" vertical="center" wrapText="1"/>
    </xf>
    <xf numFmtId="0" fontId="6" fillId="17" borderId="0" xfId="21" applyFont="1" applyFill="1"/>
    <xf numFmtId="164" fontId="26" fillId="0" borderId="0" xfId="20" applyNumberFormat="1" applyFont="1" applyAlignment="1">
      <alignment horizontal="right"/>
    </xf>
    <xf numFmtId="0" fontId="17" fillId="0" borderId="0" xfId="20" applyFont="1"/>
    <xf numFmtId="164" fontId="17" fillId="0" borderId="0" xfId="20" applyNumberFormat="1" applyFont="1" applyAlignment="1">
      <alignment horizontal="left"/>
    </xf>
    <xf numFmtId="2" fontId="17" fillId="0" borderId="0" xfId="21" applyNumberFormat="1" applyFont="1" applyAlignment="1">
      <alignment horizontal="center" vertical="center" wrapText="1"/>
    </xf>
    <xf numFmtId="0" fontId="17" fillId="0" borderId="0" xfId="21" applyFont="1" applyAlignment="1">
      <alignment horizontal="center" vertical="center" wrapText="1"/>
    </xf>
    <xf numFmtId="4" fontId="17" fillId="0" borderId="0" xfId="21" applyNumberFormat="1" applyFont="1" applyBorder="1" applyAlignment="1">
      <alignment horizontal="center" vertical="center" wrapText="1"/>
    </xf>
    <xf numFmtId="9" fontId="25" fillId="0" borderId="9" xfId="21" applyNumberFormat="1" applyFont="1" applyBorder="1" applyAlignment="1">
      <alignment horizontal="center" vertical="center" wrapText="1"/>
    </xf>
    <xf numFmtId="9" fontId="25" fillId="0" borderId="10" xfId="21" applyNumberFormat="1" applyFont="1" applyBorder="1" applyAlignment="1">
      <alignment horizontal="center" vertical="center" wrapText="1"/>
    </xf>
    <xf numFmtId="9" fontId="25" fillId="0" borderId="11" xfId="21" applyNumberFormat="1" applyFont="1" applyBorder="1" applyAlignment="1">
      <alignment horizontal="center" vertical="center" wrapText="1"/>
    </xf>
    <xf numFmtId="0" fontId="26" fillId="0" borderId="0" xfId="21" applyFont="1" applyAlignment="1">
      <alignment horizontal="center" wrapText="1"/>
    </xf>
    <xf numFmtId="0" fontId="25" fillId="0" borderId="0" xfId="21" applyFont="1" applyAlignment="1">
      <alignment horizontal="center" vertical="center" wrapText="1"/>
    </xf>
    <xf numFmtId="0" fontId="17" fillId="16" borderId="6" xfId="21" applyFont="1" applyFill="1" applyBorder="1" applyAlignment="1">
      <alignment horizontal="center" vertical="center" wrapText="1"/>
    </xf>
    <xf numFmtId="0" fontId="17" fillId="16" borderId="12" xfId="21" applyFont="1" applyFill="1" applyBorder="1" applyAlignment="1">
      <alignment horizontal="center" vertical="center" wrapText="1"/>
    </xf>
    <xf numFmtId="0" fontId="17" fillId="16" borderId="5" xfId="21" applyFont="1" applyFill="1" applyBorder="1" applyAlignment="1">
      <alignment horizontal="center" vertical="center" wrapText="1"/>
    </xf>
    <xf numFmtId="0" fontId="17" fillId="13" borderId="6" xfId="21" applyFont="1" applyFill="1" applyBorder="1" applyAlignment="1">
      <alignment horizontal="center" vertical="center" wrapText="1"/>
    </xf>
    <xf numFmtId="0" fontId="17" fillId="13" borderId="12" xfId="21" applyFont="1" applyFill="1" applyBorder="1" applyAlignment="1">
      <alignment horizontal="center" vertical="center" wrapText="1"/>
    </xf>
    <xf numFmtId="0" fontId="17" fillId="13" borderId="5" xfId="21" applyFont="1" applyFill="1" applyBorder="1" applyAlignment="1">
      <alignment horizontal="center" vertical="center" wrapText="1"/>
    </xf>
    <xf numFmtId="0" fontId="17" fillId="13" borderId="6" xfId="21" applyFont="1" applyFill="1" applyBorder="1" applyAlignment="1">
      <alignment horizontal="center" wrapText="1"/>
    </xf>
    <xf numFmtId="0" fontId="17" fillId="13" borderId="12" xfId="21" applyFont="1" applyFill="1" applyBorder="1" applyAlignment="1">
      <alignment horizontal="center" wrapText="1"/>
    </xf>
    <xf numFmtId="0" fontId="17" fillId="13" borderId="5" xfId="21" applyFont="1" applyFill="1" applyBorder="1" applyAlignment="1">
      <alignment horizontal="center" wrapText="1"/>
    </xf>
    <xf numFmtId="4" fontId="17" fillId="0" borderId="1" xfId="21" applyNumberFormat="1" applyFont="1" applyBorder="1" applyAlignment="1">
      <alignment horizontal="center" vertical="center" wrapText="1"/>
    </xf>
    <xf numFmtId="4" fontId="17" fillId="0" borderId="6" xfId="21" applyNumberFormat="1" applyFont="1" applyBorder="1" applyAlignment="1">
      <alignment horizontal="center" vertical="center" wrapText="1"/>
    </xf>
    <xf numFmtId="4" fontId="17" fillId="0" borderId="12" xfId="21" applyNumberFormat="1" applyFont="1" applyBorder="1" applyAlignment="1">
      <alignment horizontal="center" vertical="center" wrapText="1"/>
    </xf>
    <xf numFmtId="4" fontId="17" fillId="0" borderId="5" xfId="21" applyNumberFormat="1" applyFont="1" applyBorder="1" applyAlignment="1">
      <alignment horizontal="center" vertical="center" wrapText="1"/>
    </xf>
    <xf numFmtId="0" fontId="15" fillId="0" borderId="0" xfId="20" applyFont="1" applyAlignment="1">
      <alignment horizontal="left" vertical="center" wrapText="1"/>
    </xf>
    <xf numFmtId="165" fontId="7" fillId="0" borderId="15" xfId="22" applyNumberFormat="1" applyFont="1" applyBorder="1" applyAlignment="1">
      <alignment horizontal="center" vertical="center"/>
    </xf>
    <xf numFmtId="165" fontId="7" fillId="0" borderId="16" xfId="22" applyNumberFormat="1" applyFont="1" applyBorder="1" applyAlignment="1">
      <alignment horizontal="center" vertical="center"/>
    </xf>
    <xf numFmtId="165" fontId="7" fillId="0" borderId="17" xfId="22" applyNumberFormat="1" applyFont="1" applyBorder="1" applyAlignment="1">
      <alignment horizontal="center" vertical="center"/>
    </xf>
    <xf numFmtId="0" fontId="7" fillId="0" borderId="0" xfId="20" applyFont="1" applyAlignment="1">
      <alignment horizontal="justify" wrapText="1"/>
    </xf>
    <xf numFmtId="0" fontId="17" fillId="0" borderId="0" xfId="20" applyFont="1" applyAlignment="1">
      <alignment horizontal="justify" wrapText="1"/>
    </xf>
    <xf numFmtId="0" fontId="28" fillId="0" borderId="0" xfId="20" applyNumberFormat="1" applyFont="1" applyAlignment="1">
      <alignment horizontal="left" wrapText="1"/>
    </xf>
    <xf numFmtId="0" fontId="14" fillId="0" borderId="0" xfId="20" applyFont="1" applyAlignment="1">
      <alignment horizontal="justify" wrapText="1"/>
    </xf>
    <xf numFmtId="0" fontId="7" fillId="0" borderId="0" xfId="20" applyNumberFormat="1" applyFont="1" applyAlignment="1">
      <alignment horizontal="justify" wrapText="1"/>
    </xf>
    <xf numFmtId="0" fontId="14" fillId="18" borderId="0" xfId="2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49" fontId="15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13" borderId="0" xfId="0" applyFont="1" applyFill="1" applyAlignment="1">
      <alignment horizontal="left" vertical="center" wrapText="1"/>
    </xf>
    <xf numFmtId="49" fontId="14" fillId="0" borderId="9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0" xfId="0" applyNumberFormat="1" applyFont="1" applyFill="1" applyAlignment="1">
      <alignment horizontal="left" vertical="center"/>
    </xf>
    <xf numFmtId="0" fontId="7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13" borderId="2" xfId="0" applyFont="1" applyFill="1" applyBorder="1" applyAlignment="1">
      <alignment horizontal="left" vertical="center" wrapText="1"/>
    </xf>
    <xf numFmtId="0" fontId="15" fillId="0" borderId="0" xfId="20" applyFont="1" applyAlignment="1">
      <alignment horizontal="left" vertical="top" wrapText="1"/>
    </xf>
    <xf numFmtId="0" fontId="9" fillId="0" borderId="0" xfId="20" applyFont="1" applyAlignment="1">
      <alignment horizontal="justify" wrapText="1"/>
    </xf>
    <xf numFmtId="0" fontId="11" fillId="0" borderId="0" xfId="20" applyFont="1" applyAlignment="1">
      <alignment horizontal="justify" wrapText="1"/>
    </xf>
    <xf numFmtId="0" fontId="5" fillId="0" borderId="0" xfId="20" applyFont="1" applyAlignment="1">
      <alignment horizontal="left" wrapText="1"/>
    </xf>
    <xf numFmtId="0" fontId="8" fillId="0" borderId="0" xfId="20" applyFont="1" applyAlignment="1">
      <alignment horizontal="justify" wrapText="1"/>
    </xf>
    <xf numFmtId="0" fontId="9" fillId="0" borderId="0" xfId="20" applyNumberFormat="1" applyFont="1" applyAlignment="1">
      <alignment horizontal="justify" wrapText="1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</cellXfs>
  <cellStyles count="23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 2" xfId="19"/>
    <cellStyle name="Обычный_Расчет субвенции-минфин" xfId="20"/>
    <cellStyle name="Обычный_Схема Методики" xfId="21"/>
    <cellStyle name="Финансовый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0"/>
  <sheetViews>
    <sheetView tabSelected="1" zoomScale="80" zoomScaleNormal="80" workbookViewId="0">
      <selection sqref="A1:S1"/>
    </sheetView>
  </sheetViews>
  <sheetFormatPr defaultRowHeight="13.2" x14ac:dyDescent="0.25"/>
  <cols>
    <col min="1" max="1" width="2.5546875" style="123" customWidth="1"/>
    <col min="2" max="2" width="13.21875" style="123" customWidth="1"/>
    <col min="3" max="3" width="2.6640625" style="123" customWidth="1"/>
    <col min="4" max="4" width="3.88671875" style="123" customWidth="1"/>
    <col min="5" max="5" width="8.33203125" style="123" customWidth="1"/>
    <col min="6" max="6" width="2.5546875" style="123" customWidth="1"/>
    <col min="7" max="7" width="13" style="123" customWidth="1"/>
    <col min="8" max="8" width="2.5546875" style="123" customWidth="1"/>
    <col min="9" max="9" width="11" style="123" customWidth="1"/>
    <col min="10" max="10" width="2.88671875" style="123" customWidth="1"/>
    <col min="11" max="11" width="11.33203125" style="123" customWidth="1"/>
    <col min="12" max="12" width="3.6640625" style="123" customWidth="1"/>
    <col min="13" max="13" width="13.109375" style="123" customWidth="1"/>
    <col min="14" max="14" width="3.44140625" style="123" customWidth="1"/>
    <col min="15" max="15" width="13.6640625" style="123" customWidth="1"/>
    <col min="16" max="16" width="4.33203125" style="123" customWidth="1"/>
    <col min="17" max="17" width="15.88671875" style="123" customWidth="1"/>
    <col min="18" max="18" width="3.88671875" style="123" customWidth="1"/>
    <col min="19" max="19" width="16.88671875" style="123" customWidth="1"/>
    <col min="20" max="20" width="4.6640625" style="123" customWidth="1"/>
    <col min="21" max="21" width="6.44140625" style="123" customWidth="1"/>
    <col min="22" max="22" width="14.6640625" style="123" customWidth="1"/>
    <col min="23" max="23" width="12.109375" style="123" customWidth="1"/>
    <col min="24" max="16384" width="8.88671875" style="123"/>
  </cols>
  <sheetData>
    <row r="1" spans="1:21" ht="13.8" x14ac:dyDescent="0.25">
      <c r="A1" s="239" t="s">
        <v>245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122"/>
    </row>
    <row r="2" spans="1:21" ht="13.8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1" ht="13.95" customHeight="1" x14ac:dyDescent="0.25">
      <c r="T3" s="122"/>
    </row>
    <row r="4" spans="1:21" ht="13.8" x14ac:dyDescent="0.25">
      <c r="A4" s="122"/>
      <c r="B4" s="247" t="s">
        <v>288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122"/>
    </row>
    <row r="5" spans="1:21" ht="13.8" x14ac:dyDescent="0.25">
      <c r="A5" s="122"/>
      <c r="B5" s="160"/>
      <c r="C5" s="122"/>
      <c r="D5" s="122"/>
      <c r="E5" s="122"/>
      <c r="F5" s="122"/>
      <c r="G5" s="122"/>
      <c r="H5" s="160"/>
      <c r="I5" s="122"/>
      <c r="J5" s="122"/>
      <c r="K5" s="122"/>
      <c r="L5" s="122"/>
      <c r="M5" s="122"/>
      <c r="N5" s="161"/>
      <c r="O5" s="122"/>
      <c r="P5" s="161"/>
      <c r="Q5" s="122"/>
      <c r="R5" s="161"/>
      <c r="S5" s="159"/>
      <c r="T5" s="122"/>
    </row>
    <row r="6" spans="1:21" ht="111" customHeight="1" x14ac:dyDescent="0.25">
      <c r="A6" s="124"/>
      <c r="B6" s="166" t="s">
        <v>284</v>
      </c>
      <c r="C6" s="124"/>
      <c r="D6" s="244" t="s">
        <v>285</v>
      </c>
      <c r="E6" s="245"/>
      <c r="F6" s="245"/>
      <c r="G6" s="245"/>
      <c r="H6" s="245"/>
      <c r="I6" s="245"/>
      <c r="J6" s="245"/>
      <c r="K6" s="245"/>
      <c r="L6" s="245"/>
      <c r="M6" s="246"/>
      <c r="N6" s="126"/>
      <c r="O6" s="166" t="s">
        <v>303</v>
      </c>
      <c r="P6" s="124"/>
      <c r="Q6" s="166" t="s">
        <v>286</v>
      </c>
      <c r="R6" s="124"/>
      <c r="S6" s="166" t="s">
        <v>287</v>
      </c>
      <c r="T6" s="122"/>
    </row>
    <row r="7" spans="1:21" ht="14.4" customHeight="1" x14ac:dyDescent="0.25">
      <c r="A7" s="124"/>
      <c r="B7" s="131">
        <f>B26</f>
        <v>602.22189204720371</v>
      </c>
      <c r="C7" s="124"/>
      <c r="D7" s="251">
        <f>G26</f>
        <v>328.471</v>
      </c>
      <c r="E7" s="252"/>
      <c r="F7" s="252"/>
      <c r="G7" s="253"/>
      <c r="H7" s="216"/>
      <c r="I7" s="250">
        <f>I26</f>
        <v>2550.2762064712538</v>
      </c>
      <c r="J7" s="250"/>
      <c r="K7" s="250"/>
      <c r="L7" s="250"/>
      <c r="M7" s="250"/>
      <c r="N7" s="126"/>
      <c r="O7" s="132">
        <f>'3. Возврат владельцам'!D17</f>
        <v>235.42112068267127</v>
      </c>
      <c r="P7" s="124"/>
      <c r="Q7" s="131">
        <f>Q26</f>
        <v>117.17180365296805</v>
      </c>
      <c r="R7" s="124"/>
      <c r="S7" s="132">
        <f>'5. Содержание невозвратных'!E37</f>
        <v>29226.7479396491</v>
      </c>
      <c r="T7" s="122"/>
    </row>
    <row r="8" spans="1:21" ht="13.8" x14ac:dyDescent="0.25">
      <c r="A8" s="163"/>
      <c r="B8" s="124"/>
      <c r="C8" s="124"/>
      <c r="D8" s="164"/>
      <c r="E8" s="124"/>
      <c r="F8" s="164"/>
      <c r="G8" s="124"/>
      <c r="H8" s="164"/>
      <c r="I8" s="124"/>
      <c r="J8" s="164"/>
      <c r="K8" s="124"/>
      <c r="L8" s="164"/>
      <c r="M8" s="124"/>
      <c r="N8" s="163"/>
      <c r="O8" s="128"/>
      <c r="P8" s="163"/>
      <c r="Q8" s="124"/>
      <c r="R8" s="163"/>
      <c r="S8" s="128"/>
      <c r="T8" s="122"/>
    </row>
    <row r="9" spans="1:21" ht="69" x14ac:dyDescent="0.25">
      <c r="A9" s="124"/>
      <c r="B9" s="125" t="s">
        <v>246</v>
      </c>
      <c r="C9" s="124"/>
      <c r="D9" s="124"/>
      <c r="E9" s="125" t="s">
        <v>297</v>
      </c>
      <c r="F9" s="124"/>
      <c r="G9" s="125" t="s">
        <v>340</v>
      </c>
      <c r="H9" s="163"/>
      <c r="I9" s="141" t="s">
        <v>292</v>
      </c>
      <c r="J9" s="124"/>
      <c r="K9" s="125" t="s">
        <v>247</v>
      </c>
      <c r="L9" s="124"/>
      <c r="M9" s="125" t="s">
        <v>248</v>
      </c>
      <c r="N9" s="124"/>
      <c r="O9" s="127" t="s">
        <v>293</v>
      </c>
      <c r="P9" s="124"/>
      <c r="Q9" s="125" t="s">
        <v>256</v>
      </c>
      <c r="R9" s="163"/>
      <c r="S9" s="162" t="s">
        <v>257</v>
      </c>
      <c r="T9" s="122"/>
      <c r="U9" s="129"/>
    </row>
    <row r="10" spans="1:21" ht="13.8" x14ac:dyDescent="0.25">
      <c r="A10" s="163"/>
      <c r="B10" s="124"/>
      <c r="C10" s="124"/>
      <c r="D10" s="124"/>
      <c r="E10" s="124"/>
      <c r="F10" s="163"/>
      <c r="G10" s="124"/>
      <c r="H10" s="163"/>
      <c r="I10" s="124"/>
      <c r="J10" s="163"/>
      <c r="K10" s="124"/>
      <c r="L10" s="124"/>
      <c r="M10" s="124"/>
      <c r="N10" s="124"/>
      <c r="O10" s="128"/>
      <c r="P10" s="124"/>
      <c r="Q10" s="124"/>
      <c r="R10" s="163"/>
      <c r="S10" s="128"/>
      <c r="T10" s="122"/>
    </row>
    <row r="11" spans="1:21" ht="45.6" customHeight="1" x14ac:dyDescent="0.25">
      <c r="A11" s="124"/>
      <c r="B11" s="125" t="s">
        <v>294</v>
      </c>
      <c r="C11" s="124"/>
      <c r="D11" s="124"/>
      <c r="E11" s="126"/>
      <c r="F11" s="124"/>
      <c r="G11" s="125" t="s">
        <v>295</v>
      </c>
      <c r="H11" s="163"/>
      <c r="I11" s="141" t="s">
        <v>249</v>
      </c>
      <c r="J11" s="163"/>
      <c r="K11" s="141" t="s">
        <v>289</v>
      </c>
      <c r="L11" s="124"/>
      <c r="M11" s="124"/>
      <c r="N11" s="124"/>
      <c r="O11" s="139"/>
      <c r="P11" s="124"/>
      <c r="Q11" s="126"/>
      <c r="R11" s="163"/>
      <c r="S11" s="141" t="s">
        <v>249</v>
      </c>
      <c r="T11" s="122"/>
    </row>
    <row r="12" spans="1:21" ht="27.6" x14ac:dyDescent="0.25">
      <c r="A12" s="124"/>
      <c r="B12" s="125" t="s">
        <v>250</v>
      </c>
      <c r="C12" s="124"/>
      <c r="D12" s="124"/>
      <c r="E12" s="126"/>
      <c r="F12" s="124"/>
      <c r="G12" s="125" t="s">
        <v>296</v>
      </c>
      <c r="H12" s="124"/>
      <c r="I12" s="125" t="s">
        <v>251</v>
      </c>
      <c r="J12" s="124"/>
      <c r="K12" s="125" t="s">
        <v>290</v>
      </c>
      <c r="L12" s="124"/>
      <c r="M12" s="124"/>
      <c r="N12" s="124"/>
      <c r="O12" s="124"/>
      <c r="P12" s="124"/>
      <c r="Q12" s="124"/>
      <c r="R12" s="124"/>
      <c r="S12" s="125" t="s">
        <v>252</v>
      </c>
      <c r="T12" s="122"/>
    </row>
    <row r="13" spans="1:21" ht="27.6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5" t="s">
        <v>291</v>
      </c>
      <c r="L13" s="124"/>
      <c r="M13" s="124"/>
      <c r="N13" s="124"/>
      <c r="O13" s="124"/>
      <c r="P13" s="124"/>
      <c r="Q13" s="124"/>
      <c r="R13" s="124"/>
      <c r="S13" s="124"/>
      <c r="T13" s="122"/>
    </row>
    <row r="14" spans="1:21" ht="13.8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2"/>
    </row>
    <row r="15" spans="1:21" ht="13.95" customHeight="1" x14ac:dyDescent="0.25">
      <c r="A15" s="124"/>
      <c r="B15" s="241" t="s">
        <v>255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136">
        <v>9745</v>
      </c>
      <c r="R15" s="124"/>
      <c r="S15" s="124"/>
      <c r="T15" s="122"/>
    </row>
    <row r="16" spans="1:21" ht="13.95" customHeight="1" x14ac:dyDescent="0.25">
      <c r="A16" s="124"/>
      <c r="B16" s="241" t="s">
        <v>254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3"/>
      <c r="Q16" s="134">
        <f>B24+G24+I24+O24+Q24+S24</f>
        <v>44256334.577481002</v>
      </c>
      <c r="R16" s="124"/>
      <c r="S16" s="158"/>
      <c r="T16" s="122"/>
    </row>
    <row r="17" spans="1:22" ht="13.8" x14ac:dyDescent="0.25">
      <c r="A17" s="124"/>
      <c r="B17" s="241" t="s">
        <v>253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135">
        <f>Q16/Q15</f>
        <v>4541.4401823992821</v>
      </c>
      <c r="R17" s="124"/>
      <c r="S17" s="124"/>
      <c r="T17" s="122"/>
    </row>
    <row r="18" spans="1:22" ht="13.8" x14ac:dyDescent="0.25">
      <c r="A18" s="124"/>
      <c r="T18" s="122"/>
    </row>
    <row r="19" spans="1:22" ht="13.8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2"/>
    </row>
    <row r="20" spans="1:22" ht="15" customHeight="1" x14ac:dyDescent="0.25">
      <c r="A20" s="124"/>
      <c r="B20" s="240" t="s">
        <v>258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122"/>
    </row>
    <row r="21" spans="1:22" ht="13.8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2"/>
    </row>
    <row r="22" spans="1:22" ht="13.8" x14ac:dyDescent="0.25">
      <c r="A22" s="124"/>
      <c r="B22" s="138">
        <v>1</v>
      </c>
      <c r="C22" s="137"/>
      <c r="D22" s="140"/>
      <c r="E22" s="138">
        <v>1</v>
      </c>
      <c r="F22" s="140"/>
      <c r="G22" s="138">
        <v>0.05</v>
      </c>
      <c r="H22" s="140"/>
      <c r="I22" s="236">
        <v>0.95</v>
      </c>
      <c r="J22" s="237"/>
      <c r="K22" s="237"/>
      <c r="L22" s="237"/>
      <c r="M22" s="238"/>
      <c r="N22" s="137"/>
      <c r="O22" s="138">
        <v>0.05</v>
      </c>
      <c r="P22" s="137"/>
      <c r="Q22" s="138">
        <v>0.85</v>
      </c>
      <c r="R22" s="137"/>
      <c r="S22" s="138">
        <v>0.05</v>
      </c>
      <c r="T22" s="122"/>
    </row>
    <row r="23" spans="1:22" ht="13.8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2"/>
    </row>
    <row r="24" spans="1:22" ht="13.8" x14ac:dyDescent="0.25">
      <c r="A24" s="124"/>
      <c r="B24" s="158">
        <f>B25*B26</f>
        <v>5868652.3380000005</v>
      </c>
      <c r="C24" s="158"/>
      <c r="D24" s="158"/>
      <c r="E24" s="140"/>
      <c r="F24" s="140"/>
      <c r="G24" s="165">
        <f>G25*G26</f>
        <v>159965.37700000001</v>
      </c>
      <c r="H24" s="140"/>
      <c r="I24" s="235">
        <f>I25*I26</f>
        <v>23610457.119510867</v>
      </c>
      <c r="J24" s="235"/>
      <c r="K24" s="235"/>
      <c r="L24" s="235"/>
      <c r="M24" s="235"/>
      <c r="N24" s="158"/>
      <c r="O24" s="158">
        <f>O25*O26</f>
        <v>108999.9788760768</v>
      </c>
      <c r="P24" s="158"/>
      <c r="Q24" s="158">
        <f>Q25*Q26</f>
        <v>976275.46803652984</v>
      </c>
      <c r="R24" s="158"/>
      <c r="S24" s="158">
        <f>S25*S26*345</f>
        <v>13531984.296057533</v>
      </c>
      <c r="T24" s="122"/>
      <c r="V24" s="215"/>
    </row>
    <row r="25" spans="1:22" ht="13.8" x14ac:dyDescent="0.25">
      <c r="A25" s="124"/>
      <c r="B25" s="124">
        <v>9745</v>
      </c>
      <c r="C25" s="124"/>
      <c r="D25" s="124"/>
      <c r="E25" s="124"/>
      <c r="F25" s="124"/>
      <c r="G25" s="124">
        <v>487</v>
      </c>
      <c r="H25" s="124"/>
      <c r="I25" s="234">
        <v>9258</v>
      </c>
      <c r="J25" s="234"/>
      <c r="K25" s="234"/>
      <c r="L25" s="234"/>
      <c r="M25" s="234"/>
      <c r="N25" s="124"/>
      <c r="O25" s="124">
        <v>463</v>
      </c>
      <c r="P25" s="124"/>
      <c r="Q25" s="124">
        <f>I25-O25-S25</f>
        <v>8332</v>
      </c>
      <c r="R25" s="124"/>
      <c r="S25" s="124">
        <v>463</v>
      </c>
      <c r="T25" s="122"/>
    </row>
    <row r="26" spans="1:22" ht="13.8" x14ac:dyDescent="0.25">
      <c r="A26" s="124"/>
      <c r="B26" s="167">
        <f>'1.Расчет отлов'!E136</f>
        <v>602.22189204720371</v>
      </c>
      <c r="C26" s="124"/>
      <c r="D26" s="124"/>
      <c r="E26" s="124"/>
      <c r="F26" s="124"/>
      <c r="G26" s="167">
        <f>'2. Содержание в приютах'!E49</f>
        <v>328.471</v>
      </c>
      <c r="H26" s="124"/>
      <c r="I26" s="233">
        <f>'2. Содержание в приютах'!E110</f>
        <v>2550.2762064712538</v>
      </c>
      <c r="J26" s="233"/>
      <c r="K26" s="233"/>
      <c r="L26" s="233"/>
      <c r="M26" s="233"/>
      <c r="N26" s="124"/>
      <c r="O26" s="158">
        <f>O7</f>
        <v>235.42112068267127</v>
      </c>
      <c r="P26" s="124"/>
      <c r="Q26" s="167">
        <f>'4. Возврат на прежние места'!D129</f>
        <v>117.17180365296805</v>
      </c>
      <c r="R26" s="124"/>
      <c r="S26" s="158">
        <f>'5. Содержание невозвратных'!E38</f>
        <v>84.715211419272748</v>
      </c>
      <c r="T26" s="122"/>
      <c r="V26" s="229" t="s">
        <v>335</v>
      </c>
    </row>
    <row r="27" spans="1:22" ht="13.8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2"/>
    </row>
    <row r="28" spans="1:22" ht="13.8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2"/>
    </row>
    <row r="29" spans="1:22" ht="13.8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2"/>
    </row>
    <row r="30" spans="1:22" ht="13.8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2"/>
    </row>
    <row r="31" spans="1:22" ht="13.8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2"/>
    </row>
    <row r="32" spans="1:22" ht="13.8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2"/>
    </row>
    <row r="33" spans="1:20" ht="13.8" x14ac:dyDescent="0.2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2"/>
    </row>
    <row r="34" spans="1:20" ht="13.8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2"/>
    </row>
    <row r="35" spans="1:20" ht="13.8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2"/>
    </row>
    <row r="36" spans="1:20" ht="13.8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2"/>
    </row>
    <row r="37" spans="1:20" ht="13.8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2"/>
    </row>
    <row r="38" spans="1:20" ht="13.8" x14ac:dyDescent="0.2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2"/>
    </row>
    <row r="39" spans="1:20" ht="13.8" x14ac:dyDescent="0.2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2"/>
    </row>
    <row r="40" spans="1:20" ht="13.8" x14ac:dyDescent="0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2"/>
    </row>
    <row r="41" spans="1:20" ht="13.8" x14ac:dyDescent="0.2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1:20" ht="13.8" x14ac:dyDescent="0.2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ht="13.8" x14ac:dyDescent="0.2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</row>
    <row r="44" spans="1:20" ht="13.8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</row>
    <row r="45" spans="1:20" ht="13.8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</row>
    <row r="46" spans="1:20" ht="13.8" x14ac:dyDescent="0.2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</row>
    <row r="47" spans="1:20" ht="13.8" x14ac:dyDescent="0.2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</row>
    <row r="48" spans="1:20" ht="13.8" x14ac:dyDescent="0.2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</row>
    <row r="49" spans="1:20" ht="13.8" x14ac:dyDescent="0.2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</row>
    <row r="50" spans="1:20" ht="13.8" x14ac:dyDescent="0.2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</row>
  </sheetData>
  <mergeCells count="13">
    <mergeCell ref="I26:M26"/>
    <mergeCell ref="I25:M25"/>
    <mergeCell ref="I24:M24"/>
    <mergeCell ref="I22:M22"/>
    <mergeCell ref="A1:S1"/>
    <mergeCell ref="B20:S20"/>
    <mergeCell ref="B15:P15"/>
    <mergeCell ref="B16:P16"/>
    <mergeCell ref="B17:P17"/>
    <mergeCell ref="D6:M6"/>
    <mergeCell ref="B4:S4"/>
    <mergeCell ref="I7:M7"/>
    <mergeCell ref="D7:G7"/>
  </mergeCells>
  <phoneticPr fontId="24" type="noConversion"/>
  <pageMargins left="0.15748031496062992" right="0.15748031496062992" top="0.39370078740157483" bottom="0.19685039370078741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0"/>
  <sheetViews>
    <sheetView zoomScale="60" zoomScaleNormal="60" workbookViewId="0"/>
  </sheetViews>
  <sheetFormatPr defaultRowHeight="14.4" x14ac:dyDescent="0.3"/>
  <cols>
    <col min="1" max="1" width="6" style="2" customWidth="1"/>
    <col min="2" max="2" width="65.21875" style="2" customWidth="1"/>
    <col min="3" max="3" width="16.33203125" style="2" customWidth="1"/>
    <col min="4" max="4" width="19.5546875" style="2" customWidth="1"/>
    <col min="5" max="5" width="19.6640625" style="2" customWidth="1"/>
    <col min="6" max="6" width="8.88671875" style="2"/>
    <col min="7" max="7" width="9.88671875" style="2" bestFit="1" customWidth="1"/>
    <col min="8" max="8" width="62.5546875" style="2" customWidth="1"/>
    <col min="9" max="9" width="16.88671875" style="2" customWidth="1"/>
    <col min="10" max="10" width="22.5546875" style="2" customWidth="1"/>
    <col min="11" max="11" width="25.77734375" style="2" customWidth="1"/>
    <col min="12" max="16384" width="8.88671875" style="2"/>
  </cols>
  <sheetData>
    <row r="1" spans="1:7" ht="61.5" customHeight="1" x14ac:dyDescent="0.3">
      <c r="A1" s="96"/>
      <c r="B1" s="254" t="s">
        <v>259</v>
      </c>
      <c r="C1" s="254"/>
      <c r="D1" s="254"/>
      <c r="E1" s="254"/>
      <c r="F1" s="182"/>
      <c r="G1" s="183"/>
    </row>
    <row r="2" spans="1:7" ht="27" customHeight="1" x14ac:dyDescent="0.3">
      <c r="A2" s="96"/>
      <c r="B2" s="263" t="s">
        <v>260</v>
      </c>
      <c r="C2" s="263"/>
      <c r="D2" s="263"/>
      <c r="E2" s="263"/>
      <c r="F2" s="1"/>
    </row>
    <row r="3" spans="1:7" ht="17.399999999999999" customHeight="1" x14ac:dyDescent="0.3">
      <c r="A3" s="96"/>
      <c r="B3" s="96"/>
      <c r="C3" s="96"/>
      <c r="D3" s="96"/>
      <c r="E3" s="96"/>
      <c r="F3" s="1"/>
    </row>
    <row r="4" spans="1:7" ht="15.6" x14ac:dyDescent="0.3">
      <c r="A4" s="96"/>
      <c r="B4" s="146" t="s">
        <v>12</v>
      </c>
      <c r="C4" s="146" t="s">
        <v>17</v>
      </c>
      <c r="D4" s="96"/>
      <c r="E4" s="96"/>
      <c r="F4" s="1"/>
    </row>
    <row r="5" spans="1:7" ht="52.95" customHeight="1" x14ac:dyDescent="0.3">
      <c r="A5" s="96"/>
      <c r="B5" s="146" t="s">
        <v>18</v>
      </c>
      <c r="C5" s="177">
        <f>SUM(C6:C35)</f>
        <v>9745</v>
      </c>
      <c r="D5" s="96"/>
      <c r="E5" s="96"/>
      <c r="F5" s="1"/>
    </row>
    <row r="6" spans="1:7" ht="16.95" customHeight="1" x14ac:dyDescent="0.3">
      <c r="A6" s="96"/>
      <c r="B6" s="219" t="s">
        <v>19</v>
      </c>
      <c r="C6" s="220">
        <v>2710</v>
      </c>
      <c r="D6" s="96"/>
      <c r="E6" s="96"/>
      <c r="F6" s="1"/>
    </row>
    <row r="7" spans="1:7" ht="16.95" customHeight="1" x14ac:dyDescent="0.3">
      <c r="A7" s="96"/>
      <c r="B7" s="219" t="s">
        <v>20</v>
      </c>
      <c r="C7" s="219">
        <v>600</v>
      </c>
      <c r="D7" s="96"/>
      <c r="E7" s="96"/>
      <c r="F7" s="1"/>
    </row>
    <row r="8" spans="1:7" ht="16.95" customHeight="1" x14ac:dyDescent="0.3">
      <c r="A8" s="96"/>
      <c r="B8" s="219" t="s">
        <v>21</v>
      </c>
      <c r="C8" s="219">
        <v>540</v>
      </c>
      <c r="D8" s="96"/>
      <c r="E8" s="96"/>
      <c r="F8" s="1"/>
    </row>
    <row r="9" spans="1:7" ht="16.95" customHeight="1" x14ac:dyDescent="0.3">
      <c r="A9" s="96"/>
      <c r="B9" s="219" t="s">
        <v>22</v>
      </c>
      <c r="C9" s="219">
        <v>300</v>
      </c>
      <c r="D9" s="96"/>
      <c r="E9" s="96"/>
      <c r="F9" s="1"/>
    </row>
    <row r="10" spans="1:7" ht="16.95" customHeight="1" x14ac:dyDescent="0.3">
      <c r="A10" s="96"/>
      <c r="B10" s="219" t="s">
        <v>23</v>
      </c>
      <c r="C10" s="219">
        <v>650</v>
      </c>
      <c r="D10" s="96"/>
      <c r="E10" s="96"/>
      <c r="F10" s="1"/>
    </row>
    <row r="11" spans="1:7" ht="18.600000000000001" customHeight="1" x14ac:dyDescent="0.3">
      <c r="A11" s="96"/>
      <c r="B11" s="221" t="s">
        <v>24</v>
      </c>
      <c r="C11" s="221">
        <v>150</v>
      </c>
      <c r="D11" s="96"/>
      <c r="E11" s="96"/>
      <c r="F11" s="1"/>
    </row>
    <row r="12" spans="1:7" ht="21" customHeight="1" x14ac:dyDescent="0.3">
      <c r="A12" s="96"/>
      <c r="B12" s="221" t="s">
        <v>25</v>
      </c>
      <c r="C12" s="221">
        <v>227</v>
      </c>
      <c r="D12" s="96"/>
      <c r="E12" s="96"/>
      <c r="F12" s="1"/>
    </row>
    <row r="13" spans="1:7" ht="18.600000000000001" customHeight="1" x14ac:dyDescent="0.3">
      <c r="A13" s="96"/>
      <c r="B13" s="221" t="s">
        <v>26</v>
      </c>
      <c r="C13" s="221">
        <v>150</v>
      </c>
      <c r="D13" s="96"/>
      <c r="E13" s="96"/>
      <c r="F13" s="1"/>
    </row>
    <row r="14" spans="1:7" ht="16.2" customHeight="1" x14ac:dyDescent="0.3">
      <c r="A14" s="96"/>
      <c r="B14" s="221" t="s">
        <v>27</v>
      </c>
      <c r="C14" s="221">
        <v>144</v>
      </c>
      <c r="D14" s="96"/>
      <c r="E14" s="96"/>
      <c r="F14" s="1"/>
    </row>
    <row r="15" spans="1:7" ht="16.95" customHeight="1" x14ac:dyDescent="0.3">
      <c r="A15" s="96"/>
      <c r="B15" s="219" t="s">
        <v>28</v>
      </c>
      <c r="C15" s="219">
        <v>104</v>
      </c>
      <c r="D15" s="96"/>
      <c r="E15" s="96"/>
      <c r="F15" s="1"/>
    </row>
    <row r="16" spans="1:7" ht="16.95" customHeight="1" x14ac:dyDescent="0.3">
      <c r="A16" s="96"/>
      <c r="B16" s="219" t="s">
        <v>29</v>
      </c>
      <c r="C16" s="219">
        <v>75</v>
      </c>
      <c r="D16" s="96"/>
      <c r="E16" s="96"/>
      <c r="F16" s="1"/>
    </row>
    <row r="17" spans="1:6" ht="16.95" customHeight="1" x14ac:dyDescent="0.3">
      <c r="A17" s="96"/>
      <c r="B17" s="219" t="s">
        <v>30</v>
      </c>
      <c r="C17" s="219">
        <v>100</v>
      </c>
      <c r="D17" s="96"/>
      <c r="E17" s="96"/>
      <c r="F17" s="1"/>
    </row>
    <row r="18" spans="1:6" ht="15.6" x14ac:dyDescent="0.3">
      <c r="A18" s="96"/>
      <c r="B18" s="219" t="s">
        <v>31</v>
      </c>
      <c r="C18" s="219">
        <v>350</v>
      </c>
      <c r="D18" s="96"/>
      <c r="E18" s="96"/>
      <c r="F18" s="1"/>
    </row>
    <row r="19" spans="1:6" ht="16.95" customHeight="1" x14ac:dyDescent="0.3">
      <c r="A19" s="96"/>
      <c r="B19" s="219" t="s">
        <v>32</v>
      </c>
      <c r="C19" s="219">
        <v>162</v>
      </c>
      <c r="D19" s="96"/>
      <c r="E19" s="96"/>
      <c r="F19" s="1"/>
    </row>
    <row r="20" spans="1:6" ht="16.95" customHeight="1" x14ac:dyDescent="0.3">
      <c r="A20" s="96"/>
      <c r="B20" s="219" t="s">
        <v>33</v>
      </c>
      <c r="C20" s="219">
        <v>200</v>
      </c>
      <c r="D20" s="96"/>
      <c r="E20" s="96"/>
      <c r="F20" s="1"/>
    </row>
    <row r="21" spans="1:6" ht="15.6" x14ac:dyDescent="0.3">
      <c r="A21" s="96"/>
      <c r="B21" s="219" t="s">
        <v>34</v>
      </c>
      <c r="C21" s="219">
        <v>175</v>
      </c>
      <c r="D21" s="96"/>
      <c r="E21" s="96"/>
      <c r="F21" s="1"/>
    </row>
    <row r="22" spans="1:6" ht="16.95" customHeight="1" x14ac:dyDescent="0.3">
      <c r="A22" s="96"/>
      <c r="B22" s="219" t="s">
        <v>35</v>
      </c>
      <c r="C22" s="219">
        <v>250</v>
      </c>
      <c r="D22" s="96"/>
      <c r="E22" s="96"/>
      <c r="F22" s="1"/>
    </row>
    <row r="23" spans="1:6" ht="16.95" customHeight="1" x14ac:dyDescent="0.3">
      <c r="A23" s="96"/>
      <c r="B23" s="219" t="s">
        <v>36</v>
      </c>
      <c r="C23" s="219">
        <v>375</v>
      </c>
      <c r="D23" s="96"/>
      <c r="E23" s="96"/>
      <c r="F23" s="1"/>
    </row>
    <row r="24" spans="1:6" ht="16.95" customHeight="1" x14ac:dyDescent="0.3">
      <c r="A24" s="96"/>
      <c r="B24" s="219" t="s">
        <v>37</v>
      </c>
      <c r="C24" s="219">
        <v>43</v>
      </c>
      <c r="D24" s="96"/>
      <c r="E24" s="96"/>
      <c r="F24" s="1"/>
    </row>
    <row r="25" spans="1:6" ht="15.6" x14ac:dyDescent="0.3">
      <c r="A25" s="96"/>
      <c r="B25" s="219" t="s">
        <v>38</v>
      </c>
      <c r="C25" s="219">
        <v>200</v>
      </c>
      <c r="D25" s="96"/>
      <c r="E25" s="96"/>
      <c r="F25" s="1"/>
    </row>
    <row r="26" spans="1:6" ht="15.6" x14ac:dyDescent="0.3">
      <c r="A26" s="96"/>
      <c r="B26" s="219" t="s">
        <v>39</v>
      </c>
      <c r="C26" s="219">
        <v>500</v>
      </c>
      <c r="D26" s="96"/>
      <c r="E26" s="96"/>
      <c r="F26" s="1"/>
    </row>
    <row r="27" spans="1:6" ht="16.95" customHeight="1" x14ac:dyDescent="0.3">
      <c r="A27" s="96"/>
      <c r="B27" s="219" t="s">
        <v>40</v>
      </c>
      <c r="C27" s="219">
        <v>100</v>
      </c>
      <c r="D27" s="96"/>
      <c r="E27" s="96"/>
      <c r="F27" s="1"/>
    </row>
    <row r="28" spans="1:6" ht="15.6" x14ac:dyDescent="0.3">
      <c r="A28" s="96"/>
      <c r="B28" s="219" t="s">
        <v>41</v>
      </c>
      <c r="C28" s="219">
        <v>106</v>
      </c>
      <c r="D28" s="96"/>
      <c r="E28" s="96"/>
      <c r="F28" s="1"/>
    </row>
    <row r="29" spans="1:6" ht="16.95" customHeight="1" x14ac:dyDescent="0.3">
      <c r="A29" s="96"/>
      <c r="B29" s="219" t="s">
        <v>42</v>
      </c>
      <c r="C29" s="219">
        <v>80</v>
      </c>
      <c r="D29" s="96"/>
      <c r="E29" s="96"/>
      <c r="F29" s="1"/>
    </row>
    <row r="30" spans="1:6" ht="16.95" customHeight="1" x14ac:dyDescent="0.3">
      <c r="A30" s="96"/>
      <c r="B30" s="219" t="s">
        <v>43</v>
      </c>
      <c r="C30" s="219">
        <v>110</v>
      </c>
      <c r="D30" s="96"/>
      <c r="E30" s="96"/>
      <c r="F30" s="1"/>
    </row>
    <row r="31" spans="1:6" ht="16.95" customHeight="1" x14ac:dyDescent="0.3">
      <c r="A31" s="96"/>
      <c r="B31" s="219" t="s">
        <v>44</v>
      </c>
      <c r="C31" s="219">
        <v>600</v>
      </c>
      <c r="D31" s="96"/>
      <c r="E31" s="96"/>
      <c r="F31" s="1"/>
    </row>
    <row r="32" spans="1:6" ht="16.95" customHeight="1" x14ac:dyDescent="0.3">
      <c r="A32" s="96"/>
      <c r="B32" s="219" t="s">
        <v>45</v>
      </c>
      <c r="C32" s="219">
        <v>287</v>
      </c>
      <c r="D32" s="96"/>
      <c r="E32" s="96"/>
      <c r="F32" s="1"/>
    </row>
    <row r="33" spans="1:12" ht="16.95" customHeight="1" x14ac:dyDescent="0.3">
      <c r="A33" s="96"/>
      <c r="B33" s="219" t="s">
        <v>46</v>
      </c>
      <c r="C33" s="219">
        <v>120</v>
      </c>
      <c r="D33" s="96"/>
      <c r="E33" s="96"/>
      <c r="F33" s="1"/>
    </row>
    <row r="34" spans="1:12" ht="15.6" x14ac:dyDescent="0.3">
      <c r="A34" s="96"/>
      <c r="B34" s="219" t="s">
        <v>47</v>
      </c>
      <c r="C34" s="219">
        <v>125</v>
      </c>
      <c r="D34" s="96"/>
      <c r="E34" s="96"/>
      <c r="F34" s="1"/>
    </row>
    <row r="35" spans="1:12" ht="16.95" customHeight="1" x14ac:dyDescent="0.3">
      <c r="A35" s="96"/>
      <c r="B35" s="219" t="s">
        <v>48</v>
      </c>
      <c r="C35" s="219">
        <v>212</v>
      </c>
      <c r="D35" s="96"/>
      <c r="E35" s="96"/>
      <c r="F35" s="1"/>
    </row>
    <row r="36" spans="1:12" ht="37.799999999999997" customHeight="1" x14ac:dyDescent="0.3">
      <c r="A36" s="96"/>
      <c r="B36" s="222" t="s">
        <v>49</v>
      </c>
      <c r="C36" s="222">
        <f>76+44</f>
        <v>120</v>
      </c>
      <c r="D36" s="96"/>
      <c r="E36" s="96"/>
      <c r="F36" s="1"/>
    </row>
    <row r="37" spans="1:12" ht="16.95" customHeight="1" x14ac:dyDescent="0.3">
      <c r="A37" s="96"/>
      <c r="B37" s="222" t="s">
        <v>50</v>
      </c>
      <c r="C37" s="223">
        <f>C5*C36</f>
        <v>1169400</v>
      </c>
      <c r="D37" s="96"/>
      <c r="E37" s="96"/>
      <c r="F37" s="1"/>
    </row>
    <row r="38" spans="1:12" ht="16.95" customHeight="1" x14ac:dyDescent="0.3">
      <c r="A38" s="96"/>
      <c r="B38" s="217"/>
      <c r="C38" s="218"/>
      <c r="D38" s="96"/>
      <c r="E38" s="96"/>
      <c r="F38" s="1"/>
    </row>
    <row r="39" spans="1:12" ht="45" customHeight="1" x14ac:dyDescent="0.3">
      <c r="A39" s="96"/>
      <c r="B39" s="263" t="s">
        <v>262</v>
      </c>
      <c r="C39" s="263"/>
      <c r="D39" s="263"/>
      <c r="E39" s="263"/>
      <c r="F39" s="1"/>
    </row>
    <row r="40" spans="1:12" ht="15.6" x14ac:dyDescent="0.3">
      <c r="A40" s="96"/>
      <c r="B40" s="202" t="s">
        <v>310</v>
      </c>
      <c r="C40" s="230">
        <v>2190</v>
      </c>
      <c r="D40" s="98"/>
      <c r="E40" s="96"/>
      <c r="F40" s="1"/>
    </row>
    <row r="41" spans="1:12" ht="15.6" x14ac:dyDescent="0.3">
      <c r="A41" s="96"/>
      <c r="B41" s="202" t="s">
        <v>311</v>
      </c>
      <c r="C41" s="230">
        <v>985</v>
      </c>
      <c r="D41" s="98"/>
      <c r="E41" s="96"/>
      <c r="F41" s="1"/>
    </row>
    <row r="42" spans="1:12" ht="15.6" x14ac:dyDescent="0.3">
      <c r="A42" s="96"/>
      <c r="B42" s="231" t="s">
        <v>307</v>
      </c>
      <c r="C42" s="232"/>
      <c r="D42" s="96"/>
      <c r="E42" s="96"/>
      <c r="F42" s="1"/>
    </row>
    <row r="43" spans="1:12" ht="18.600000000000001" customHeight="1" x14ac:dyDescent="0.3">
      <c r="A43" s="96"/>
      <c r="B43" s="261" t="s">
        <v>52</v>
      </c>
      <c r="C43" s="261"/>
      <c r="D43" s="96"/>
      <c r="E43" s="96"/>
      <c r="F43" s="1"/>
    </row>
    <row r="44" spans="1:12" ht="47.25" customHeight="1" x14ac:dyDescent="0.3">
      <c r="A44" s="96"/>
      <c r="B44" s="262" t="s">
        <v>308</v>
      </c>
      <c r="C44" s="262"/>
      <c r="D44" s="262"/>
      <c r="E44" s="96"/>
      <c r="F44" s="1"/>
    </row>
    <row r="45" spans="1:12" ht="14.4" customHeight="1" x14ac:dyDescent="0.3">
      <c r="A45" s="96"/>
      <c r="B45" s="173"/>
      <c r="C45" s="173"/>
      <c r="D45" s="173"/>
      <c r="E45" s="96"/>
      <c r="F45" s="1"/>
    </row>
    <row r="46" spans="1:12" s="225" customFormat="1" ht="30.6" customHeight="1" x14ac:dyDescent="0.35">
      <c r="A46" s="224"/>
      <c r="B46" s="260" t="s">
        <v>312</v>
      </c>
      <c r="C46" s="260"/>
      <c r="D46" s="260"/>
      <c r="E46" s="260"/>
      <c r="F46" s="260"/>
      <c r="G46" s="226"/>
      <c r="H46" s="260" t="s">
        <v>313</v>
      </c>
      <c r="I46" s="260"/>
      <c r="J46" s="260"/>
      <c r="K46" s="260"/>
      <c r="L46" s="260"/>
    </row>
    <row r="47" spans="1:12" ht="19.2" customHeight="1" x14ac:dyDescent="0.3">
      <c r="A47" s="96"/>
      <c r="B47" s="97" t="s">
        <v>264</v>
      </c>
      <c r="C47" s="98"/>
      <c r="D47" s="96"/>
      <c r="E47" s="96"/>
      <c r="F47" s="1"/>
      <c r="G47" s="96"/>
      <c r="H47" s="97" t="s">
        <v>264</v>
      </c>
      <c r="I47" s="98"/>
      <c r="J47" s="96"/>
      <c r="K47" s="96"/>
      <c r="L47" s="1"/>
    </row>
    <row r="48" spans="1:12" ht="11.4" customHeight="1" x14ac:dyDescent="0.3">
      <c r="A48" s="96"/>
      <c r="B48" s="96"/>
      <c r="C48" s="96"/>
      <c r="D48" s="98"/>
      <c r="E48" s="98"/>
      <c r="F48" s="1"/>
      <c r="G48" s="96"/>
      <c r="H48" s="96"/>
      <c r="I48" s="96"/>
      <c r="J48" s="98"/>
      <c r="K48" s="98"/>
      <c r="L48" s="1"/>
    </row>
    <row r="49" spans="1:12" x14ac:dyDescent="0.3">
      <c r="A49" s="96"/>
      <c r="B49" s="146" t="s">
        <v>12</v>
      </c>
      <c r="C49" s="147" t="s">
        <v>54</v>
      </c>
      <c r="D49" s="98"/>
      <c r="E49" s="98"/>
      <c r="G49" s="96"/>
      <c r="H49" s="146" t="s">
        <v>12</v>
      </c>
      <c r="I49" s="147" t="s">
        <v>54</v>
      </c>
      <c r="J49" s="98"/>
      <c r="K49" s="98"/>
    </row>
    <row r="50" spans="1:12" x14ac:dyDescent="0.3">
      <c r="A50" s="145" t="s">
        <v>104</v>
      </c>
      <c r="B50" s="146" t="s">
        <v>55</v>
      </c>
      <c r="C50" s="169">
        <f>C65</f>
        <v>502182</v>
      </c>
      <c r="D50" s="98"/>
      <c r="E50" s="98"/>
      <c r="G50" s="181" t="s">
        <v>104</v>
      </c>
      <c r="H50" s="146" t="s">
        <v>55</v>
      </c>
      <c r="I50" s="169">
        <f>I65</f>
        <v>251091</v>
      </c>
      <c r="J50" s="98"/>
      <c r="K50" s="98"/>
    </row>
    <row r="51" spans="1:12" x14ac:dyDescent="0.3">
      <c r="A51" s="145" t="s">
        <v>105</v>
      </c>
      <c r="B51" s="146" t="s">
        <v>56</v>
      </c>
      <c r="C51" s="169">
        <f>C50*30.2%</f>
        <v>151658.96400000001</v>
      </c>
      <c r="D51" s="98"/>
      <c r="E51" s="98"/>
      <c r="G51" s="181" t="s">
        <v>105</v>
      </c>
      <c r="H51" s="146" t="s">
        <v>56</v>
      </c>
      <c r="I51" s="169">
        <f>I50*30.2%</f>
        <v>75829.482000000004</v>
      </c>
      <c r="J51" s="98"/>
      <c r="K51" s="98"/>
    </row>
    <row r="52" spans="1:12" x14ac:dyDescent="0.3">
      <c r="A52" s="145" t="s">
        <v>266</v>
      </c>
      <c r="B52" s="146" t="s">
        <v>57</v>
      </c>
      <c r="C52" s="169">
        <f>C79</f>
        <v>45144.000000000007</v>
      </c>
      <c r="D52" s="98"/>
      <c r="E52" s="98"/>
      <c r="G52" s="181" t="s">
        <v>266</v>
      </c>
      <c r="H52" s="146" t="s">
        <v>57</v>
      </c>
      <c r="I52" s="169">
        <f>I79</f>
        <v>22572.000000000004</v>
      </c>
      <c r="J52" s="98"/>
      <c r="K52" s="98"/>
    </row>
    <row r="53" spans="1:12" x14ac:dyDescent="0.3">
      <c r="A53" s="145" t="s">
        <v>267</v>
      </c>
      <c r="B53" s="146" t="s">
        <v>339</v>
      </c>
      <c r="C53" s="169">
        <f>E90</f>
        <v>14139</v>
      </c>
      <c r="D53" s="98"/>
      <c r="E53" s="98"/>
      <c r="G53" s="181" t="s">
        <v>267</v>
      </c>
      <c r="H53" s="146" t="s">
        <v>338</v>
      </c>
      <c r="I53" s="169">
        <f>K90</f>
        <v>14139</v>
      </c>
      <c r="J53" s="98"/>
      <c r="K53" s="98"/>
    </row>
    <row r="54" spans="1:12" x14ac:dyDescent="0.3">
      <c r="A54" s="145" t="s">
        <v>268</v>
      </c>
      <c r="B54" s="146" t="s">
        <v>59</v>
      </c>
      <c r="C54" s="169">
        <f>E98</f>
        <v>12150</v>
      </c>
      <c r="D54" s="98"/>
      <c r="E54" s="98"/>
      <c r="G54" s="181" t="s">
        <v>268</v>
      </c>
      <c r="H54" s="146" t="s">
        <v>59</v>
      </c>
      <c r="I54" s="169">
        <f>K98</f>
        <v>12150</v>
      </c>
      <c r="J54" s="98"/>
      <c r="K54" s="98"/>
    </row>
    <row r="55" spans="1:12" x14ac:dyDescent="0.3">
      <c r="A55" s="145" t="s">
        <v>269</v>
      </c>
      <c r="B55" s="146" t="s">
        <v>60</v>
      </c>
      <c r="C55" s="169">
        <f>E109</f>
        <v>210937.5</v>
      </c>
      <c r="D55" s="98"/>
      <c r="E55" s="98"/>
      <c r="G55" s="181" t="s">
        <v>269</v>
      </c>
      <c r="H55" s="146" t="s">
        <v>60</v>
      </c>
      <c r="I55" s="169">
        <f>K109</f>
        <v>104625</v>
      </c>
      <c r="J55" s="98"/>
      <c r="K55" s="98"/>
    </row>
    <row r="56" spans="1:12" x14ac:dyDescent="0.3">
      <c r="A56" s="145" t="s">
        <v>270</v>
      </c>
      <c r="B56" s="146" t="s">
        <v>61</v>
      </c>
      <c r="C56" s="169">
        <f>E120</f>
        <v>94800</v>
      </c>
      <c r="D56" s="98"/>
      <c r="E56" s="98"/>
      <c r="G56" s="181" t="s">
        <v>270</v>
      </c>
      <c r="H56" s="146" t="s">
        <v>61</v>
      </c>
      <c r="I56" s="169">
        <f>K120</f>
        <v>94800</v>
      </c>
      <c r="J56" s="98"/>
      <c r="K56" s="98"/>
    </row>
    <row r="57" spans="1:12" x14ac:dyDescent="0.3">
      <c r="A57" s="96"/>
      <c r="B57" s="142" t="s">
        <v>62</v>
      </c>
      <c r="C57" s="170">
        <f>SUM(C50:C56)</f>
        <v>1031011.464</v>
      </c>
      <c r="D57" s="98"/>
      <c r="E57" s="98"/>
      <c r="G57" s="96"/>
      <c r="H57" s="142" t="s">
        <v>62</v>
      </c>
      <c r="I57" s="170">
        <f>SUM(I50:I56)</f>
        <v>575206.48200000008</v>
      </c>
      <c r="J57" s="98"/>
      <c r="K57" s="98"/>
    </row>
    <row r="58" spans="1:12" ht="24.75" customHeight="1" x14ac:dyDescent="0.3">
      <c r="A58" s="96"/>
      <c r="B58" s="96" t="s">
        <v>265</v>
      </c>
      <c r="C58" s="96"/>
      <c r="D58" s="96"/>
      <c r="E58" s="96"/>
      <c r="F58" s="1"/>
      <c r="G58" s="96"/>
      <c r="H58" s="96" t="s">
        <v>265</v>
      </c>
      <c r="I58" s="96"/>
      <c r="J58" s="96"/>
      <c r="K58" s="96"/>
      <c r="L58" s="1"/>
    </row>
    <row r="59" spans="1:12" ht="15.6" x14ac:dyDescent="0.3">
      <c r="A59" s="96"/>
      <c r="B59" s="97" t="s">
        <v>63</v>
      </c>
      <c r="C59" s="96"/>
      <c r="D59" s="96"/>
      <c r="E59" s="96"/>
      <c r="F59" s="1"/>
      <c r="G59" s="96"/>
      <c r="H59" s="97" t="s">
        <v>63</v>
      </c>
      <c r="I59" s="96"/>
      <c r="J59" s="96"/>
      <c r="K59" s="96"/>
      <c r="L59" s="1"/>
    </row>
    <row r="60" spans="1:12" ht="12" customHeight="1" x14ac:dyDescent="0.3">
      <c r="A60" s="96"/>
      <c r="B60" s="96"/>
      <c r="C60" s="96"/>
      <c r="D60" s="96"/>
      <c r="E60" s="96"/>
      <c r="F60" s="1"/>
      <c r="G60" s="96"/>
      <c r="H60" s="96"/>
      <c r="I60" s="96"/>
      <c r="J60" s="96"/>
      <c r="K60" s="96"/>
      <c r="L60" s="1"/>
    </row>
    <row r="61" spans="1:12" ht="15.6" x14ac:dyDescent="0.3">
      <c r="A61" s="96"/>
      <c r="B61" s="142" t="s">
        <v>64</v>
      </c>
      <c r="C61" s="148" t="s">
        <v>12</v>
      </c>
      <c r="D61" s="96"/>
      <c r="E61" s="96"/>
      <c r="F61" s="1"/>
      <c r="G61" s="96"/>
      <c r="H61" s="142" t="s">
        <v>64</v>
      </c>
      <c r="I61" s="148" t="s">
        <v>12</v>
      </c>
      <c r="J61" s="96"/>
      <c r="K61" s="96"/>
      <c r="L61" s="1"/>
    </row>
    <row r="62" spans="1:12" ht="15.6" x14ac:dyDescent="0.3">
      <c r="A62" s="96"/>
      <c r="B62" s="146" t="s">
        <v>65</v>
      </c>
      <c r="C62" s="227">
        <v>13949.5</v>
      </c>
      <c r="D62" s="96"/>
      <c r="E62" s="96"/>
      <c r="F62" s="1"/>
      <c r="G62" s="96"/>
      <c r="H62" s="146" t="s">
        <v>65</v>
      </c>
      <c r="I62" s="227">
        <v>13949.5</v>
      </c>
      <c r="J62" s="96"/>
      <c r="K62" s="96"/>
      <c r="L62" s="1"/>
    </row>
    <row r="63" spans="1:12" ht="15.6" x14ac:dyDescent="0.3">
      <c r="A63" s="96"/>
      <c r="B63" s="146" t="s">
        <v>66</v>
      </c>
      <c r="C63" s="146">
        <v>3</v>
      </c>
      <c r="D63" s="96"/>
      <c r="E63" s="96"/>
      <c r="F63" s="1"/>
      <c r="G63" s="96"/>
      <c r="H63" s="146" t="s">
        <v>66</v>
      </c>
      <c r="I63" s="146">
        <v>3</v>
      </c>
      <c r="J63" s="96"/>
      <c r="K63" s="96"/>
      <c r="L63" s="1"/>
    </row>
    <row r="64" spans="1:12" ht="15.6" x14ac:dyDescent="0.3">
      <c r="A64" s="96"/>
      <c r="B64" s="146" t="s">
        <v>67</v>
      </c>
      <c r="C64" s="146">
        <v>12</v>
      </c>
      <c r="D64" s="96"/>
      <c r="E64" s="96"/>
      <c r="F64" s="1"/>
      <c r="G64" s="96"/>
      <c r="H64" s="146" t="s">
        <v>67</v>
      </c>
      <c r="I64" s="146">
        <v>6</v>
      </c>
      <c r="J64" s="96"/>
      <c r="K64" s="96"/>
      <c r="L64" s="1"/>
    </row>
    <row r="65" spans="1:12" ht="15.6" x14ac:dyDescent="0.3">
      <c r="A65" s="96"/>
      <c r="B65" s="142" t="s">
        <v>50</v>
      </c>
      <c r="C65" s="176">
        <f>C62*C63*C64</f>
        <v>502182</v>
      </c>
      <c r="D65" s="96"/>
      <c r="E65" s="96"/>
      <c r="F65" s="1"/>
      <c r="G65" s="96"/>
      <c r="H65" s="142" t="s">
        <v>50</v>
      </c>
      <c r="I65" s="176">
        <f>I62*I63*I64</f>
        <v>251091</v>
      </c>
      <c r="J65" s="96"/>
      <c r="K65" s="96"/>
      <c r="L65" s="1"/>
    </row>
    <row r="66" spans="1:12" ht="15.6" x14ac:dyDescent="0.3">
      <c r="A66" s="96"/>
      <c r="B66" s="96" t="s">
        <v>68</v>
      </c>
      <c r="C66" s="99"/>
      <c r="D66" s="96"/>
      <c r="E66" s="96"/>
      <c r="F66" s="1"/>
      <c r="G66" s="96"/>
      <c r="H66" s="96" t="s">
        <v>68</v>
      </c>
      <c r="I66" s="99"/>
      <c r="J66" s="96"/>
      <c r="K66" s="96"/>
      <c r="L66" s="1"/>
    </row>
    <row r="67" spans="1:12" ht="15.6" x14ac:dyDescent="0.3">
      <c r="A67" s="96"/>
      <c r="B67" s="96" t="s">
        <v>69</v>
      </c>
      <c r="C67" s="99"/>
      <c r="D67" s="96"/>
      <c r="E67" s="96"/>
      <c r="F67" s="1"/>
      <c r="G67" s="96"/>
      <c r="H67" s="96" t="s">
        <v>69</v>
      </c>
      <c r="I67" s="99"/>
      <c r="J67" s="96"/>
      <c r="K67" s="96"/>
      <c r="L67" s="1"/>
    </row>
    <row r="68" spans="1:12" ht="15.6" x14ac:dyDescent="0.3">
      <c r="A68" s="96"/>
      <c r="B68" s="96" t="s">
        <v>70</v>
      </c>
      <c r="C68" s="96"/>
      <c r="D68" s="96"/>
      <c r="E68" s="96"/>
      <c r="F68" s="1"/>
      <c r="G68" s="96"/>
      <c r="H68" s="96" t="s">
        <v>70</v>
      </c>
      <c r="I68" s="96"/>
      <c r="J68" s="96"/>
      <c r="K68" s="96"/>
      <c r="L68" s="1"/>
    </row>
    <row r="69" spans="1:12" ht="49.5" customHeight="1" x14ac:dyDescent="0.3">
      <c r="A69" s="96"/>
      <c r="B69" s="258" t="s">
        <v>334</v>
      </c>
      <c r="C69" s="258"/>
      <c r="D69" s="258"/>
      <c r="E69" s="96"/>
      <c r="F69" s="1"/>
      <c r="G69" s="96"/>
      <c r="H69" s="258" t="s">
        <v>334</v>
      </c>
      <c r="I69" s="258"/>
      <c r="J69" s="258"/>
      <c r="K69" s="96"/>
      <c r="L69" s="1"/>
    </row>
    <row r="70" spans="1:12" ht="10.95" customHeight="1" x14ac:dyDescent="0.3">
      <c r="A70" s="96"/>
      <c r="B70" s="100"/>
      <c r="C70" s="100"/>
      <c r="D70" s="100"/>
      <c r="E70" s="96"/>
      <c r="F70" s="1"/>
      <c r="G70" s="96"/>
      <c r="H70" s="172"/>
      <c r="I70" s="172"/>
      <c r="J70" s="172"/>
      <c r="K70" s="96"/>
      <c r="L70" s="1"/>
    </row>
    <row r="71" spans="1:12" ht="15.6" x14ac:dyDescent="0.3">
      <c r="A71" s="96"/>
      <c r="B71" s="97" t="s">
        <v>271</v>
      </c>
      <c r="C71" s="96"/>
      <c r="D71" s="96"/>
      <c r="E71" s="96"/>
      <c r="F71" s="1"/>
      <c r="G71" s="96"/>
      <c r="H71" s="97" t="s">
        <v>271</v>
      </c>
      <c r="I71" s="96"/>
      <c r="J71" s="96"/>
      <c r="K71" s="96"/>
      <c r="L71" s="1"/>
    </row>
    <row r="72" spans="1:12" ht="10.95" customHeight="1" x14ac:dyDescent="0.3">
      <c r="A72" s="96"/>
      <c r="B72" s="96"/>
      <c r="C72" s="96"/>
      <c r="D72" s="96"/>
      <c r="E72" s="96"/>
      <c r="F72" s="1"/>
      <c r="G72" s="96"/>
      <c r="H72" s="96"/>
      <c r="I72" s="96"/>
      <c r="J72" s="96"/>
      <c r="K72" s="96"/>
      <c r="L72" s="1"/>
    </row>
    <row r="73" spans="1:12" ht="15.6" x14ac:dyDescent="0.3">
      <c r="A73" s="96"/>
      <c r="B73" s="146" t="s">
        <v>64</v>
      </c>
      <c r="C73" s="147" t="s">
        <v>12</v>
      </c>
      <c r="D73" s="96"/>
      <c r="E73" s="98"/>
      <c r="F73" s="1"/>
      <c r="G73" s="96"/>
      <c r="H73" s="146" t="s">
        <v>64</v>
      </c>
      <c r="I73" s="147" t="s">
        <v>12</v>
      </c>
      <c r="J73" s="96"/>
      <c r="K73" s="98"/>
      <c r="L73" s="1"/>
    </row>
    <row r="74" spans="1:12" ht="27.6" x14ac:dyDescent="0.3">
      <c r="A74" s="96"/>
      <c r="B74" s="146" t="s">
        <v>242</v>
      </c>
      <c r="C74" s="146">
        <v>0.25</v>
      </c>
      <c r="D74" s="96"/>
      <c r="E74" s="96"/>
      <c r="F74" s="1"/>
      <c r="G74" s="96"/>
      <c r="H74" s="178" t="s">
        <v>242</v>
      </c>
      <c r="I74" s="146">
        <v>0.25</v>
      </c>
      <c r="J74" s="96"/>
      <c r="K74" s="96"/>
      <c r="L74" s="1"/>
    </row>
    <row r="75" spans="1:12" ht="15.6" x14ac:dyDescent="0.3">
      <c r="A75" s="96"/>
      <c r="B75" s="146" t="s">
        <v>74</v>
      </c>
      <c r="C75" s="146">
        <f>1.5*1.1</f>
        <v>1.6500000000000001</v>
      </c>
      <c r="D75" s="96"/>
      <c r="E75" s="96"/>
      <c r="F75" s="1"/>
      <c r="G75" s="96"/>
      <c r="H75" s="146" t="s">
        <v>74</v>
      </c>
      <c r="I75" s="146">
        <f>1.5*1.1</f>
        <v>1.6500000000000001</v>
      </c>
      <c r="J75" s="96"/>
      <c r="K75" s="96"/>
      <c r="L75" s="1"/>
    </row>
    <row r="76" spans="1:12" ht="15.6" x14ac:dyDescent="0.3">
      <c r="A76" s="96"/>
      <c r="B76" s="146" t="s">
        <v>75</v>
      </c>
      <c r="C76" s="146">
        <v>300</v>
      </c>
      <c r="D76" s="96"/>
      <c r="E76" s="96"/>
      <c r="F76" s="1"/>
      <c r="G76" s="96"/>
      <c r="H76" s="146" t="s">
        <v>75</v>
      </c>
      <c r="I76" s="146">
        <v>300</v>
      </c>
      <c r="J76" s="96"/>
      <c r="K76" s="96"/>
      <c r="L76" s="1"/>
    </row>
    <row r="77" spans="1:12" ht="15.6" x14ac:dyDescent="0.3">
      <c r="A77" s="96"/>
      <c r="B77" s="146" t="s">
        <v>76</v>
      </c>
      <c r="C77" s="146">
        <v>30.4</v>
      </c>
      <c r="D77" s="96"/>
      <c r="E77" s="96"/>
      <c r="F77" s="1"/>
      <c r="G77" s="96"/>
      <c r="H77" s="146" t="s">
        <v>76</v>
      </c>
      <c r="I77" s="146">
        <v>30.4</v>
      </c>
      <c r="J77" s="96"/>
      <c r="K77" s="96"/>
      <c r="L77" s="1"/>
    </row>
    <row r="78" spans="1:12" ht="15.6" x14ac:dyDescent="0.3">
      <c r="A78" s="96"/>
      <c r="B78" s="146" t="s">
        <v>77</v>
      </c>
      <c r="C78" s="146">
        <v>12</v>
      </c>
      <c r="D78" s="96"/>
      <c r="E78" s="96"/>
      <c r="F78" s="1"/>
      <c r="G78" s="96"/>
      <c r="H78" s="146" t="s">
        <v>77</v>
      </c>
      <c r="I78" s="146">
        <v>6</v>
      </c>
      <c r="J78" s="96"/>
      <c r="K78" s="96"/>
      <c r="L78" s="1"/>
    </row>
    <row r="79" spans="1:12" ht="15.6" x14ac:dyDescent="0.3">
      <c r="A79" s="96"/>
      <c r="B79" s="142" t="s">
        <v>50</v>
      </c>
      <c r="C79" s="176">
        <f>C74*C75*C76*C77*C78</f>
        <v>45144.000000000007</v>
      </c>
      <c r="D79" s="96"/>
      <c r="E79" s="96"/>
      <c r="F79" s="1"/>
      <c r="G79" s="96"/>
      <c r="H79" s="142" t="s">
        <v>50</v>
      </c>
      <c r="I79" s="176">
        <f>I74*I75*I76*I77*I78</f>
        <v>22572.000000000004</v>
      </c>
      <c r="J79" s="96"/>
      <c r="K79" s="96"/>
      <c r="L79" s="1"/>
    </row>
    <row r="80" spans="1:12" ht="17.399999999999999" customHeight="1" x14ac:dyDescent="0.3">
      <c r="A80" s="96"/>
      <c r="B80" s="11" t="s">
        <v>309</v>
      </c>
      <c r="C80" s="96"/>
      <c r="D80" s="96"/>
      <c r="E80" s="96"/>
      <c r="F80" s="1"/>
      <c r="G80" s="96"/>
      <c r="H80" s="11" t="s">
        <v>309</v>
      </c>
      <c r="I80" s="96"/>
      <c r="J80" s="96"/>
      <c r="K80" s="96"/>
      <c r="L80" s="1"/>
    </row>
    <row r="81" spans="1:12" ht="10.95" customHeight="1" x14ac:dyDescent="0.3">
      <c r="A81" s="96"/>
      <c r="B81" s="11"/>
      <c r="C81" s="96"/>
      <c r="D81" s="96"/>
      <c r="E81" s="96"/>
      <c r="F81" s="1"/>
      <c r="G81" s="96"/>
      <c r="H81" s="11"/>
      <c r="I81" s="96"/>
      <c r="J81" s="96"/>
      <c r="K81" s="96"/>
      <c r="L81" s="1"/>
    </row>
    <row r="82" spans="1:12" ht="16.2" customHeight="1" x14ac:dyDescent="0.3">
      <c r="A82" s="96"/>
      <c r="B82" s="97" t="s">
        <v>272</v>
      </c>
      <c r="C82" s="100"/>
      <c r="D82" s="96"/>
      <c r="E82" s="96"/>
      <c r="F82" s="1"/>
      <c r="G82" s="96"/>
      <c r="H82" s="97" t="s">
        <v>272</v>
      </c>
      <c r="I82" s="172"/>
      <c r="J82" s="96"/>
      <c r="K82" s="96"/>
      <c r="L82" s="1"/>
    </row>
    <row r="83" spans="1:12" ht="12" customHeight="1" x14ac:dyDescent="0.3">
      <c r="A83" s="96"/>
      <c r="B83" s="100"/>
      <c r="C83" s="100"/>
      <c r="D83" s="96"/>
      <c r="E83" s="96"/>
      <c r="F83" s="1"/>
      <c r="G83" s="96"/>
      <c r="H83" s="172"/>
      <c r="I83" s="172"/>
      <c r="J83" s="96"/>
      <c r="K83" s="96"/>
      <c r="L83" s="1"/>
    </row>
    <row r="84" spans="1:12" ht="14.4" customHeight="1" x14ac:dyDescent="0.3">
      <c r="A84" s="96"/>
      <c r="B84" s="146" t="s">
        <v>64</v>
      </c>
      <c r="C84" s="147" t="s">
        <v>17</v>
      </c>
      <c r="D84" s="147" t="s">
        <v>78</v>
      </c>
      <c r="E84" s="147" t="s">
        <v>79</v>
      </c>
      <c r="F84" s="1"/>
      <c r="G84" s="96"/>
      <c r="H84" s="146" t="s">
        <v>64</v>
      </c>
      <c r="I84" s="147" t="s">
        <v>17</v>
      </c>
      <c r="J84" s="147" t="s">
        <v>78</v>
      </c>
      <c r="K84" s="147" t="s">
        <v>79</v>
      </c>
      <c r="L84" s="1"/>
    </row>
    <row r="85" spans="1:12" ht="32.4" customHeight="1" x14ac:dyDescent="0.3">
      <c r="A85" s="96"/>
      <c r="B85" s="178" t="s">
        <v>113</v>
      </c>
      <c r="C85" s="146">
        <v>1</v>
      </c>
      <c r="D85" s="177">
        <v>500</v>
      </c>
      <c r="E85" s="177">
        <f>C85*D85</f>
        <v>500</v>
      </c>
      <c r="F85" s="1"/>
      <c r="G85" s="96"/>
      <c r="H85" s="178" t="s">
        <v>113</v>
      </c>
      <c r="I85" s="146">
        <v>1</v>
      </c>
      <c r="J85" s="177">
        <v>500</v>
      </c>
      <c r="K85" s="177">
        <f>I85*J85</f>
        <v>500</v>
      </c>
      <c r="L85" s="1"/>
    </row>
    <row r="86" spans="1:12" ht="16.2" customHeight="1" x14ac:dyDescent="0.3">
      <c r="A86" s="96"/>
      <c r="B86" s="146" t="s">
        <v>111</v>
      </c>
      <c r="C86" s="146">
        <v>1</v>
      </c>
      <c r="D86" s="177">
        <v>2600</v>
      </c>
      <c r="E86" s="177">
        <f>C86*D86</f>
        <v>2600</v>
      </c>
      <c r="F86" s="1"/>
      <c r="G86" s="96"/>
      <c r="H86" s="146" t="s">
        <v>111</v>
      </c>
      <c r="I86" s="146">
        <v>1</v>
      </c>
      <c r="J86" s="177">
        <v>2600</v>
      </c>
      <c r="K86" s="177">
        <f>I86*J86</f>
        <v>2600</v>
      </c>
      <c r="L86" s="1"/>
    </row>
    <row r="87" spans="1:12" ht="16.2" customHeight="1" x14ac:dyDescent="0.3">
      <c r="A87" s="96"/>
      <c r="B87" s="146" t="s">
        <v>115</v>
      </c>
      <c r="C87" s="146">
        <v>1</v>
      </c>
      <c r="D87" s="177">
        <v>789</v>
      </c>
      <c r="E87" s="177">
        <f>C87*D87</f>
        <v>789</v>
      </c>
      <c r="F87" s="1"/>
      <c r="G87" s="96"/>
      <c r="H87" s="146" t="s">
        <v>115</v>
      </c>
      <c r="I87" s="146">
        <v>1</v>
      </c>
      <c r="J87" s="177">
        <v>789</v>
      </c>
      <c r="K87" s="177">
        <f>I87*J87</f>
        <v>789</v>
      </c>
      <c r="L87" s="1"/>
    </row>
    <row r="88" spans="1:12" ht="33.6" customHeight="1" x14ac:dyDescent="0.3">
      <c r="A88" s="96"/>
      <c r="B88" s="178" t="s">
        <v>2</v>
      </c>
      <c r="C88" s="146">
        <v>1</v>
      </c>
      <c r="D88" s="177">
        <v>250</v>
      </c>
      <c r="E88" s="177">
        <f>C88*D88</f>
        <v>250</v>
      </c>
      <c r="F88" s="1"/>
      <c r="G88" s="96"/>
      <c r="H88" s="178" t="s">
        <v>2</v>
      </c>
      <c r="I88" s="146">
        <v>1</v>
      </c>
      <c r="J88" s="177">
        <v>250</v>
      </c>
      <c r="K88" s="177">
        <f>I88*J88</f>
        <v>250</v>
      </c>
      <c r="L88" s="1"/>
    </row>
    <row r="89" spans="1:12" ht="14.4" customHeight="1" x14ac:dyDescent="0.3">
      <c r="A89" s="96"/>
      <c r="B89" s="146" t="s">
        <v>110</v>
      </c>
      <c r="C89" s="146">
        <v>1</v>
      </c>
      <c r="D89" s="177">
        <v>10000</v>
      </c>
      <c r="E89" s="177">
        <f>C89*D89</f>
        <v>10000</v>
      </c>
      <c r="F89" s="1"/>
      <c r="G89" s="96"/>
      <c r="H89" s="146" t="s">
        <v>110</v>
      </c>
      <c r="I89" s="146">
        <v>1</v>
      </c>
      <c r="J89" s="177">
        <v>10000</v>
      </c>
      <c r="K89" s="177">
        <f>I89*J89</f>
        <v>10000</v>
      </c>
      <c r="L89" s="1"/>
    </row>
    <row r="90" spans="1:12" ht="21.75" customHeight="1" x14ac:dyDescent="0.3">
      <c r="A90" s="96"/>
      <c r="B90" s="142" t="s">
        <v>50</v>
      </c>
      <c r="C90" s="142"/>
      <c r="D90" s="176"/>
      <c r="E90" s="176">
        <f>SUM(E85:E89)</f>
        <v>14139</v>
      </c>
      <c r="F90" s="1"/>
      <c r="G90" s="96"/>
      <c r="H90" s="142" t="s">
        <v>50</v>
      </c>
      <c r="I90" s="142"/>
      <c r="J90" s="176"/>
      <c r="K90" s="176">
        <f>SUM(K85:K89)</f>
        <v>14139</v>
      </c>
      <c r="L90" s="1"/>
    </row>
    <row r="91" spans="1:12" ht="10.95" customHeight="1" x14ac:dyDescent="0.3">
      <c r="A91" s="96"/>
      <c r="B91" s="101"/>
      <c r="C91" s="101"/>
      <c r="D91" s="96"/>
      <c r="E91" s="96"/>
      <c r="F91" s="1"/>
      <c r="G91" s="96"/>
      <c r="H91" s="101"/>
      <c r="I91" s="101"/>
      <c r="J91" s="96"/>
      <c r="K91" s="96"/>
      <c r="L91" s="1"/>
    </row>
    <row r="92" spans="1:12" ht="15.6" x14ac:dyDescent="0.3">
      <c r="A92" s="96"/>
      <c r="B92" s="97" t="s">
        <v>273</v>
      </c>
      <c r="C92" s="96"/>
      <c r="D92" s="96"/>
      <c r="E92" s="96"/>
      <c r="F92" s="1"/>
      <c r="G92" s="96"/>
      <c r="H92" s="97" t="s">
        <v>273</v>
      </c>
      <c r="I92" s="96"/>
      <c r="J92" s="96"/>
      <c r="K92" s="96"/>
      <c r="L92" s="1"/>
    </row>
    <row r="93" spans="1:12" ht="12.6" customHeight="1" x14ac:dyDescent="0.3">
      <c r="A93" s="96"/>
      <c r="B93" s="96"/>
      <c r="C93" s="96"/>
      <c r="D93" s="96"/>
      <c r="E93" s="96"/>
      <c r="F93" s="1"/>
      <c r="G93" s="96"/>
      <c r="H93" s="96"/>
      <c r="I93" s="96"/>
      <c r="J93" s="96"/>
      <c r="K93" s="96"/>
      <c r="L93" s="1"/>
    </row>
    <row r="94" spans="1:12" ht="15.6" x14ac:dyDescent="0.3">
      <c r="A94" s="96"/>
      <c r="B94" s="146" t="s">
        <v>64</v>
      </c>
      <c r="C94" s="146" t="s">
        <v>81</v>
      </c>
      <c r="D94" s="146" t="s">
        <v>82</v>
      </c>
      <c r="E94" s="146" t="s">
        <v>14</v>
      </c>
      <c r="F94" s="1"/>
      <c r="G94" s="96"/>
      <c r="H94" s="146" t="s">
        <v>64</v>
      </c>
      <c r="I94" s="146" t="s">
        <v>81</v>
      </c>
      <c r="J94" s="146" t="s">
        <v>82</v>
      </c>
      <c r="K94" s="146" t="s">
        <v>14</v>
      </c>
      <c r="L94" s="1"/>
    </row>
    <row r="95" spans="1:12" ht="15.6" x14ac:dyDescent="0.3">
      <c r="A95" s="96"/>
      <c r="B95" s="146" t="s">
        <v>83</v>
      </c>
      <c r="C95" s="146">
        <f>1/1</f>
        <v>1</v>
      </c>
      <c r="D95" s="146">
        <v>0.5</v>
      </c>
      <c r="E95" s="179" t="s">
        <v>15</v>
      </c>
      <c r="F95" s="1"/>
      <c r="G95" s="96"/>
      <c r="H95" s="146" t="s">
        <v>83</v>
      </c>
      <c r="I95" s="146">
        <f>1/1</f>
        <v>1</v>
      </c>
      <c r="J95" s="146">
        <v>0.5</v>
      </c>
      <c r="K95" s="179" t="s">
        <v>15</v>
      </c>
      <c r="L95" s="1"/>
    </row>
    <row r="96" spans="1:12" ht="15.6" x14ac:dyDescent="0.3">
      <c r="A96" s="96"/>
      <c r="B96" s="146" t="s">
        <v>84</v>
      </c>
      <c r="C96" s="146">
        <f>1200+300+300</f>
        <v>1800</v>
      </c>
      <c r="D96" s="146">
        <f>2500+1700+300</f>
        <v>4500</v>
      </c>
      <c r="E96" s="179" t="s">
        <v>15</v>
      </c>
      <c r="F96" s="1"/>
      <c r="G96" s="96"/>
      <c r="H96" s="146" t="s">
        <v>84</v>
      </c>
      <c r="I96" s="146">
        <f>1200+300+300</f>
        <v>1800</v>
      </c>
      <c r="J96" s="146">
        <f>2500+1700+300</f>
        <v>4500</v>
      </c>
      <c r="K96" s="179" t="s">
        <v>15</v>
      </c>
      <c r="L96" s="1"/>
    </row>
    <row r="97" spans="1:12" ht="15.6" x14ac:dyDescent="0.3">
      <c r="A97" s="96"/>
      <c r="B97" s="146" t="s">
        <v>66</v>
      </c>
      <c r="C97" s="146">
        <v>3</v>
      </c>
      <c r="D97" s="146">
        <v>3</v>
      </c>
      <c r="E97" s="179" t="s">
        <v>15</v>
      </c>
      <c r="F97" s="1"/>
      <c r="G97" s="96"/>
      <c r="H97" s="146" t="s">
        <v>66</v>
      </c>
      <c r="I97" s="146">
        <v>3</v>
      </c>
      <c r="J97" s="146">
        <v>3</v>
      </c>
      <c r="K97" s="179" t="s">
        <v>15</v>
      </c>
      <c r="L97" s="1"/>
    </row>
    <row r="98" spans="1:12" ht="15.6" x14ac:dyDescent="0.3">
      <c r="A98" s="96"/>
      <c r="B98" s="142" t="s">
        <v>50</v>
      </c>
      <c r="C98" s="176">
        <f>C95*C96*C97</f>
        <v>5400</v>
      </c>
      <c r="D98" s="176">
        <f>D95*D96*D97</f>
        <v>6750</v>
      </c>
      <c r="E98" s="176">
        <f>C98+D98</f>
        <v>12150</v>
      </c>
      <c r="F98" s="1"/>
      <c r="G98" s="96"/>
      <c r="H98" s="142" t="s">
        <v>50</v>
      </c>
      <c r="I98" s="176">
        <f>I95*I96*I97</f>
        <v>5400</v>
      </c>
      <c r="J98" s="176">
        <f>J95*J96*J97</f>
        <v>6750</v>
      </c>
      <c r="K98" s="176">
        <f>I98+J98</f>
        <v>12150</v>
      </c>
      <c r="L98" s="1"/>
    </row>
    <row r="99" spans="1:12" ht="28.95" customHeight="1" x14ac:dyDescent="0.3">
      <c r="A99" s="96"/>
      <c r="B99" s="259" t="s">
        <v>85</v>
      </c>
      <c r="C99" s="259"/>
      <c r="D99" s="259"/>
      <c r="E99" s="259"/>
      <c r="F99" s="1"/>
      <c r="G99" s="96"/>
      <c r="H99" s="259" t="s">
        <v>85</v>
      </c>
      <c r="I99" s="259"/>
      <c r="J99" s="259"/>
      <c r="K99" s="259"/>
      <c r="L99" s="1"/>
    </row>
    <row r="100" spans="1:12" ht="15.6" customHeight="1" x14ac:dyDescent="0.3">
      <c r="A100" s="96"/>
      <c r="B100" s="259" t="s">
        <v>86</v>
      </c>
      <c r="C100" s="259"/>
      <c r="D100" s="259"/>
      <c r="E100" s="259"/>
      <c r="F100" s="1"/>
      <c r="G100" s="96"/>
      <c r="H100" s="259" t="s">
        <v>86</v>
      </c>
      <c r="I100" s="259"/>
      <c r="J100" s="259"/>
      <c r="K100" s="259"/>
      <c r="L100" s="1"/>
    </row>
    <row r="101" spans="1:12" ht="10.95" customHeight="1" x14ac:dyDescent="0.3">
      <c r="A101" s="96"/>
      <c r="B101" s="96"/>
      <c r="C101" s="96"/>
      <c r="D101" s="96"/>
      <c r="E101" s="96"/>
      <c r="F101" s="1"/>
      <c r="G101" s="96"/>
      <c r="H101" s="96"/>
      <c r="I101" s="96"/>
      <c r="J101" s="96"/>
      <c r="K101" s="96"/>
      <c r="L101" s="1"/>
    </row>
    <row r="102" spans="1:12" ht="15.6" x14ac:dyDescent="0.3">
      <c r="A102" s="96"/>
      <c r="B102" s="97" t="s">
        <v>274</v>
      </c>
      <c r="C102" s="96"/>
      <c r="D102" s="96"/>
      <c r="E102" s="96"/>
      <c r="F102" s="1"/>
      <c r="G102" s="96"/>
      <c r="H102" s="97" t="s">
        <v>274</v>
      </c>
      <c r="I102" s="96"/>
      <c r="J102" s="96"/>
      <c r="K102" s="96"/>
      <c r="L102" s="1"/>
    </row>
    <row r="103" spans="1:12" ht="10.95" customHeight="1" x14ac:dyDescent="0.3">
      <c r="A103" s="96"/>
      <c r="B103" s="96"/>
      <c r="C103" s="96"/>
      <c r="D103" s="96"/>
      <c r="E103" s="96"/>
      <c r="F103" s="1"/>
      <c r="G103" s="96"/>
      <c r="H103" s="96"/>
      <c r="I103" s="96"/>
      <c r="J103" s="96"/>
      <c r="K103" s="96"/>
      <c r="L103" s="1"/>
    </row>
    <row r="104" spans="1:12" ht="15.6" x14ac:dyDescent="0.3">
      <c r="A104" s="96"/>
      <c r="B104" s="146" t="s">
        <v>64</v>
      </c>
      <c r="C104" s="147" t="s">
        <v>81</v>
      </c>
      <c r="D104" s="147" t="s">
        <v>82</v>
      </c>
      <c r="E104" s="147" t="s">
        <v>14</v>
      </c>
      <c r="F104" s="1"/>
      <c r="G104" s="96"/>
      <c r="H104" s="146" t="s">
        <v>64</v>
      </c>
      <c r="I104" s="147" t="s">
        <v>81</v>
      </c>
      <c r="J104" s="147" t="s">
        <v>82</v>
      </c>
      <c r="K104" s="147" t="s">
        <v>14</v>
      </c>
      <c r="L104" s="1"/>
    </row>
    <row r="105" spans="1:12" ht="15.6" x14ac:dyDescent="0.3">
      <c r="A105" s="96"/>
      <c r="B105" s="146" t="s">
        <v>88</v>
      </c>
      <c r="C105" s="146">
        <v>15</v>
      </c>
      <c r="D105" s="146">
        <f>C105*1.1</f>
        <v>16.5</v>
      </c>
      <c r="E105" s="146" t="s">
        <v>15</v>
      </c>
      <c r="F105" s="1"/>
      <c r="G105" s="96"/>
      <c r="H105" s="146" t="s">
        <v>88</v>
      </c>
      <c r="I105" s="146">
        <v>15</v>
      </c>
      <c r="J105" s="146">
        <f>I105*1.1</f>
        <v>16.5</v>
      </c>
      <c r="K105" s="146" t="s">
        <v>15</v>
      </c>
      <c r="L105" s="1"/>
    </row>
    <row r="106" spans="1:12" ht="15.6" x14ac:dyDescent="0.3">
      <c r="A106" s="96"/>
      <c r="B106" s="146" t="s">
        <v>0</v>
      </c>
      <c r="C106" s="146">
        <v>45</v>
      </c>
      <c r="D106" s="146">
        <v>45</v>
      </c>
      <c r="E106" s="146" t="s">
        <v>15</v>
      </c>
      <c r="F106" s="1"/>
      <c r="G106" s="96"/>
      <c r="H106" s="146" t="s">
        <v>0</v>
      </c>
      <c r="I106" s="146">
        <v>45</v>
      </c>
      <c r="J106" s="146">
        <v>45</v>
      </c>
      <c r="K106" s="146" t="s">
        <v>15</v>
      </c>
      <c r="L106" s="1"/>
    </row>
    <row r="107" spans="1:12" ht="15.6" x14ac:dyDescent="0.3">
      <c r="A107" s="96"/>
      <c r="B107" s="146" t="s">
        <v>77</v>
      </c>
      <c r="C107" s="146">
        <v>7</v>
      </c>
      <c r="D107" s="146">
        <v>5</v>
      </c>
      <c r="E107" s="146">
        <f>C107+D107</f>
        <v>12</v>
      </c>
      <c r="F107" s="1"/>
      <c r="G107" s="96"/>
      <c r="H107" s="146" t="s">
        <v>77</v>
      </c>
      <c r="I107" s="146">
        <v>4</v>
      </c>
      <c r="J107" s="146">
        <v>2</v>
      </c>
      <c r="K107" s="146">
        <f>I107+J107</f>
        <v>6</v>
      </c>
      <c r="L107" s="1"/>
    </row>
    <row r="108" spans="1:12" ht="15.6" x14ac:dyDescent="0.3">
      <c r="A108" s="96"/>
      <c r="B108" s="146" t="s">
        <v>89</v>
      </c>
      <c r="C108" s="177">
        <v>2500</v>
      </c>
      <c r="D108" s="177">
        <v>2500</v>
      </c>
      <c r="E108" s="177">
        <v>5000</v>
      </c>
      <c r="F108" s="1"/>
      <c r="G108" s="96"/>
      <c r="H108" s="146" t="s">
        <v>89</v>
      </c>
      <c r="I108" s="177">
        <v>2500</v>
      </c>
      <c r="J108" s="177">
        <v>2500</v>
      </c>
      <c r="K108" s="177">
        <v>5000</v>
      </c>
      <c r="L108" s="1"/>
    </row>
    <row r="109" spans="1:12" ht="15.6" x14ac:dyDescent="0.3">
      <c r="A109" s="96"/>
      <c r="B109" s="142" t="s">
        <v>90</v>
      </c>
      <c r="C109" s="176">
        <f>C105*C106*C107*C108/100</f>
        <v>118125</v>
      </c>
      <c r="D109" s="176">
        <f>D105*D106*D107*D108/100</f>
        <v>92812.5</v>
      </c>
      <c r="E109" s="176">
        <f>C109+D109</f>
        <v>210937.5</v>
      </c>
      <c r="F109" s="1"/>
      <c r="G109" s="96"/>
      <c r="H109" s="142" t="s">
        <v>90</v>
      </c>
      <c r="I109" s="176">
        <f>I105*I106*I107*I108/100</f>
        <v>67500</v>
      </c>
      <c r="J109" s="176">
        <f>J105*J106*J107*J108/100</f>
        <v>37125</v>
      </c>
      <c r="K109" s="176">
        <f>I109+J109</f>
        <v>104625</v>
      </c>
      <c r="L109" s="1"/>
    </row>
    <row r="110" spans="1:12" ht="48" customHeight="1" x14ac:dyDescent="0.3">
      <c r="A110" s="96"/>
      <c r="B110" s="258" t="s">
        <v>91</v>
      </c>
      <c r="C110" s="258"/>
      <c r="D110" s="258"/>
      <c r="E110" s="258"/>
      <c r="F110" s="1"/>
      <c r="G110" s="96"/>
      <c r="H110" s="258" t="s">
        <v>91</v>
      </c>
      <c r="I110" s="258"/>
      <c r="J110" s="258"/>
      <c r="K110" s="258"/>
      <c r="L110" s="1"/>
    </row>
    <row r="111" spans="1:12" ht="12" customHeight="1" x14ac:dyDescent="0.3">
      <c r="A111" s="96"/>
      <c r="B111" s="96"/>
      <c r="C111" s="96"/>
      <c r="D111" s="96"/>
      <c r="E111" s="96"/>
      <c r="F111" s="1"/>
      <c r="G111" s="96"/>
      <c r="H111" s="96"/>
      <c r="I111" s="96"/>
      <c r="J111" s="96"/>
      <c r="K111" s="96"/>
      <c r="L111" s="1"/>
    </row>
    <row r="112" spans="1:12" ht="15.6" x14ac:dyDescent="0.3">
      <c r="A112" s="96"/>
      <c r="B112" s="97" t="s">
        <v>275</v>
      </c>
      <c r="C112" s="96"/>
      <c r="D112" s="96"/>
      <c r="E112" s="96"/>
      <c r="F112" s="1"/>
      <c r="G112" s="96"/>
      <c r="H112" s="97" t="s">
        <v>275</v>
      </c>
      <c r="I112" s="96"/>
      <c r="J112" s="96"/>
      <c r="K112" s="96"/>
      <c r="L112" s="1"/>
    </row>
    <row r="113" spans="1:12" ht="11.4" customHeight="1" x14ac:dyDescent="0.3">
      <c r="A113" s="96"/>
      <c r="B113" s="96"/>
      <c r="C113" s="96"/>
      <c r="D113" s="96"/>
      <c r="E113" s="96"/>
      <c r="F113" s="1"/>
      <c r="G113" s="96"/>
      <c r="H113" s="96"/>
      <c r="I113" s="96"/>
      <c r="J113" s="96"/>
      <c r="K113" s="96"/>
      <c r="L113" s="1"/>
    </row>
    <row r="114" spans="1:12" ht="27.6" x14ac:dyDescent="0.3">
      <c r="A114" s="96"/>
      <c r="B114" s="180" t="s">
        <v>93</v>
      </c>
      <c r="C114" s="180" t="s">
        <v>94</v>
      </c>
      <c r="D114" s="180" t="s">
        <v>95</v>
      </c>
      <c r="E114" s="180" t="s">
        <v>96</v>
      </c>
      <c r="F114" s="1"/>
      <c r="G114" s="96"/>
      <c r="H114" s="180" t="s">
        <v>93</v>
      </c>
      <c r="I114" s="180" t="s">
        <v>94</v>
      </c>
      <c r="J114" s="180" t="s">
        <v>95</v>
      </c>
      <c r="K114" s="180" t="s">
        <v>96</v>
      </c>
      <c r="L114" s="1"/>
    </row>
    <row r="115" spans="1:12" ht="15.6" x14ac:dyDescent="0.3">
      <c r="A115" s="96"/>
      <c r="B115" s="146" t="s">
        <v>97</v>
      </c>
      <c r="C115" s="177">
        <v>450000</v>
      </c>
      <c r="D115" s="177">
        <f>12*5</f>
        <v>60</v>
      </c>
      <c r="E115" s="177">
        <f>C115/D115*12</f>
        <v>90000</v>
      </c>
      <c r="F115" s="1"/>
      <c r="G115" s="96"/>
      <c r="H115" s="146" t="s">
        <v>97</v>
      </c>
      <c r="I115" s="177">
        <v>450000</v>
      </c>
      <c r="J115" s="177">
        <f>12*5</f>
        <v>60</v>
      </c>
      <c r="K115" s="177">
        <f>I115/J115*12</f>
        <v>90000</v>
      </c>
      <c r="L115" s="1"/>
    </row>
    <row r="116" spans="1:12" ht="28.2" x14ac:dyDescent="0.3">
      <c r="A116" s="96"/>
      <c r="B116" s="146" t="s">
        <v>114</v>
      </c>
      <c r="C116" s="177">
        <f>8700</f>
        <v>8700</v>
      </c>
      <c r="D116" s="177">
        <v>120</v>
      </c>
      <c r="E116" s="177">
        <f>C116/D116*12</f>
        <v>870</v>
      </c>
      <c r="F116" s="1"/>
      <c r="G116" s="96"/>
      <c r="H116" s="146" t="s">
        <v>114</v>
      </c>
      <c r="I116" s="177">
        <f>8700</f>
        <v>8700</v>
      </c>
      <c r="J116" s="177">
        <v>120</v>
      </c>
      <c r="K116" s="177">
        <f>I116/J116*12</f>
        <v>870</v>
      </c>
      <c r="L116" s="1"/>
    </row>
    <row r="117" spans="1:12" ht="15.6" x14ac:dyDescent="0.3">
      <c r="A117" s="96"/>
      <c r="B117" s="146" t="s">
        <v>100</v>
      </c>
      <c r="C117" s="177">
        <v>15000</v>
      </c>
      <c r="D117" s="177">
        <v>120</v>
      </c>
      <c r="E117" s="177">
        <f>C117/D117*12</f>
        <v>1500</v>
      </c>
      <c r="F117" s="1"/>
      <c r="G117" s="96"/>
      <c r="H117" s="146" t="s">
        <v>100</v>
      </c>
      <c r="I117" s="177">
        <v>15000</v>
      </c>
      <c r="J117" s="177">
        <v>120</v>
      </c>
      <c r="K117" s="177">
        <f>I117/J117*12</f>
        <v>1500</v>
      </c>
      <c r="L117" s="1"/>
    </row>
    <row r="118" spans="1:12" ht="15.6" x14ac:dyDescent="0.3">
      <c r="A118" s="96"/>
      <c r="B118" s="146" t="s">
        <v>98</v>
      </c>
      <c r="C118" s="177">
        <v>15660</v>
      </c>
      <c r="D118" s="177">
        <f>12*10</f>
        <v>120</v>
      </c>
      <c r="E118" s="177">
        <f>C118/D118*12</f>
        <v>1566</v>
      </c>
      <c r="F118" s="1"/>
      <c r="G118" s="96"/>
      <c r="H118" s="146" t="s">
        <v>98</v>
      </c>
      <c r="I118" s="177">
        <v>15660</v>
      </c>
      <c r="J118" s="177">
        <f>12*10</f>
        <v>120</v>
      </c>
      <c r="K118" s="177">
        <f>I118/J118*12</f>
        <v>1566</v>
      </c>
      <c r="L118" s="1"/>
    </row>
    <row r="119" spans="1:12" ht="15.6" x14ac:dyDescent="0.3">
      <c r="A119" s="96"/>
      <c r="B119" s="146" t="s">
        <v>99</v>
      </c>
      <c r="C119" s="177">
        <v>8640</v>
      </c>
      <c r="D119" s="177">
        <f>12*10</f>
        <v>120</v>
      </c>
      <c r="E119" s="177">
        <f>C119/D119*12</f>
        <v>864</v>
      </c>
      <c r="F119" s="1"/>
      <c r="G119" s="96"/>
      <c r="H119" s="146" t="s">
        <v>99</v>
      </c>
      <c r="I119" s="177">
        <v>8640</v>
      </c>
      <c r="J119" s="177">
        <f>12*10</f>
        <v>120</v>
      </c>
      <c r="K119" s="177">
        <f>I119/J119*12</f>
        <v>864</v>
      </c>
      <c r="L119" s="1"/>
    </row>
    <row r="120" spans="1:12" ht="15.6" x14ac:dyDescent="0.3">
      <c r="A120" s="96"/>
      <c r="B120" s="142" t="s">
        <v>14</v>
      </c>
      <c r="C120" s="176">
        <f>SUM(C115:C119)</f>
        <v>498000</v>
      </c>
      <c r="D120" s="142" t="s">
        <v>15</v>
      </c>
      <c r="E120" s="176">
        <f>SUM(E115:E119)</f>
        <v>94800</v>
      </c>
      <c r="F120" s="1"/>
      <c r="G120" s="96"/>
      <c r="H120" s="142" t="s">
        <v>14</v>
      </c>
      <c r="I120" s="176">
        <f>SUM(I115:I119)</f>
        <v>498000</v>
      </c>
      <c r="J120" s="142" t="s">
        <v>15</v>
      </c>
      <c r="K120" s="176">
        <f>SUM(K115:K119)</f>
        <v>94800</v>
      </c>
      <c r="L120" s="1"/>
    </row>
    <row r="121" spans="1:12" ht="15.6" x14ac:dyDescent="0.3">
      <c r="A121" s="96"/>
      <c r="B121" s="96"/>
      <c r="C121" s="96"/>
      <c r="D121" s="96"/>
      <c r="E121" s="96"/>
      <c r="F121" s="1"/>
    </row>
    <row r="122" spans="1:12" ht="15.6" x14ac:dyDescent="0.3">
      <c r="A122" s="96"/>
      <c r="B122" s="96"/>
      <c r="C122" s="96"/>
      <c r="D122" s="96"/>
      <c r="E122" s="96"/>
      <c r="F122" s="1"/>
    </row>
    <row r="123" spans="1:12" ht="15.6" x14ac:dyDescent="0.3">
      <c r="A123" s="96"/>
      <c r="B123" s="96"/>
      <c r="C123" s="96"/>
      <c r="D123" s="96"/>
      <c r="E123" s="96"/>
      <c r="F123" s="1"/>
    </row>
    <row r="124" spans="1:12" ht="15.6" x14ac:dyDescent="0.3">
      <c r="A124" s="96"/>
      <c r="B124" s="96"/>
      <c r="C124" s="96"/>
      <c r="D124" s="96"/>
      <c r="E124" s="96"/>
      <c r="F124" s="1"/>
    </row>
    <row r="125" spans="1:12" ht="59.4" customHeight="1" x14ac:dyDescent="0.3">
      <c r="A125" s="96"/>
      <c r="B125" s="254" t="s">
        <v>314</v>
      </c>
      <c r="C125" s="254"/>
      <c r="D125" s="254"/>
      <c r="E125" s="254"/>
      <c r="F125" s="1"/>
    </row>
    <row r="126" spans="1:12" ht="15.6" x14ac:dyDescent="0.3">
      <c r="A126" s="96"/>
      <c r="F126" s="1"/>
    </row>
    <row r="127" spans="1:12" ht="15.6" x14ac:dyDescent="0.3">
      <c r="A127" s="96"/>
      <c r="B127" s="114" t="s">
        <v>12</v>
      </c>
      <c r="C127" s="114" t="s">
        <v>13</v>
      </c>
      <c r="D127" s="114" t="s">
        <v>316</v>
      </c>
      <c r="E127" s="114" t="s">
        <v>317</v>
      </c>
      <c r="F127" s="1"/>
    </row>
    <row r="128" spans="1:12" ht="28.2" x14ac:dyDescent="0.3">
      <c r="A128" s="96"/>
      <c r="B128" s="115" t="s">
        <v>49</v>
      </c>
      <c r="C128" s="185">
        <f>C37</f>
        <v>1169400</v>
      </c>
      <c r="D128" s="255">
        <v>9745</v>
      </c>
      <c r="E128" s="185">
        <f>C128/$D$128</f>
        <v>120</v>
      </c>
      <c r="F128" s="1"/>
    </row>
    <row r="129" spans="1:6" ht="15.6" x14ac:dyDescent="0.3">
      <c r="A129" s="96"/>
      <c r="B129" s="178" t="s">
        <v>315</v>
      </c>
      <c r="C129" s="184">
        <f t="shared" ref="C129:C135" si="0">C50*4+I50</f>
        <v>2259819</v>
      </c>
      <c r="D129" s="256"/>
      <c r="E129" s="185">
        <f t="shared" ref="E129:E135" si="1">C129/$D$128</f>
        <v>231.89522832221652</v>
      </c>
      <c r="F129" s="1"/>
    </row>
    <row r="130" spans="1:6" ht="15.6" x14ac:dyDescent="0.3">
      <c r="A130" s="96"/>
      <c r="B130" s="146" t="s">
        <v>56</v>
      </c>
      <c r="C130" s="185">
        <f t="shared" si="0"/>
        <v>682465.33799999999</v>
      </c>
      <c r="D130" s="256"/>
      <c r="E130" s="185">
        <f t="shared" si="1"/>
        <v>70.032358953309384</v>
      </c>
      <c r="F130" s="1"/>
    </row>
    <row r="131" spans="1:6" ht="15.6" x14ac:dyDescent="0.3">
      <c r="A131" s="96"/>
      <c r="B131" s="146" t="s">
        <v>57</v>
      </c>
      <c r="C131" s="185">
        <f t="shared" si="0"/>
        <v>203148.00000000003</v>
      </c>
      <c r="D131" s="256"/>
      <c r="E131" s="185">
        <f t="shared" si="1"/>
        <v>20.846382760389947</v>
      </c>
      <c r="F131" s="1"/>
    </row>
    <row r="132" spans="1:6" ht="15.6" x14ac:dyDescent="0.3">
      <c r="A132" s="96"/>
      <c r="B132" s="146" t="s">
        <v>338</v>
      </c>
      <c r="C132" s="185">
        <f>C53*4+I53</f>
        <v>70695</v>
      </c>
      <c r="D132" s="256"/>
      <c r="E132" s="185">
        <f t="shared" si="1"/>
        <v>7.254489481785531</v>
      </c>
      <c r="F132" s="1"/>
    </row>
    <row r="133" spans="1:6" ht="15.6" x14ac:dyDescent="0.3">
      <c r="A133" s="96"/>
      <c r="B133" s="146" t="s">
        <v>59</v>
      </c>
      <c r="C133" s="185">
        <f t="shared" si="0"/>
        <v>60750</v>
      </c>
      <c r="D133" s="256"/>
      <c r="E133" s="185">
        <f t="shared" si="1"/>
        <v>6.2339661364802463</v>
      </c>
      <c r="F133" s="1"/>
    </row>
    <row r="134" spans="1:6" ht="15.6" x14ac:dyDescent="0.3">
      <c r="A134" s="96"/>
      <c r="B134" s="146" t="s">
        <v>60</v>
      </c>
      <c r="C134" s="185">
        <f t="shared" si="0"/>
        <v>948375</v>
      </c>
      <c r="D134" s="256"/>
      <c r="E134" s="185">
        <f t="shared" si="1"/>
        <v>97.319138019497174</v>
      </c>
      <c r="F134" s="1"/>
    </row>
    <row r="135" spans="1:6" ht="15.6" x14ac:dyDescent="0.3">
      <c r="A135" s="96"/>
      <c r="B135" s="146" t="s">
        <v>61</v>
      </c>
      <c r="C135" s="185">
        <f t="shared" si="0"/>
        <v>474000</v>
      </c>
      <c r="D135" s="256"/>
      <c r="E135" s="185">
        <f t="shared" si="1"/>
        <v>48.640328373524888</v>
      </c>
      <c r="F135" s="1"/>
    </row>
    <row r="136" spans="1:6" ht="15.6" x14ac:dyDescent="0.3">
      <c r="A136" s="96"/>
      <c r="B136" s="188" t="s">
        <v>14</v>
      </c>
      <c r="C136" s="186">
        <f>SUM(C128:C135)</f>
        <v>5868652.3380000005</v>
      </c>
      <c r="D136" s="257"/>
      <c r="E136" s="187">
        <f>SUM(E128:E135)</f>
        <v>602.22189204720371</v>
      </c>
      <c r="F136" s="1"/>
    </row>
    <row r="137" spans="1:6" ht="15.6" x14ac:dyDescent="0.3">
      <c r="A137" s="96"/>
      <c r="B137" s="96"/>
      <c r="C137" s="96"/>
      <c r="D137" s="96"/>
      <c r="E137" s="96"/>
      <c r="F137" s="1"/>
    </row>
    <row r="138" spans="1:6" ht="15.6" x14ac:dyDescent="0.3">
      <c r="A138" s="191"/>
      <c r="B138" s="1"/>
      <c r="C138" s="1"/>
      <c r="D138" s="1"/>
      <c r="E138" s="1"/>
      <c r="F138" s="1"/>
    </row>
    <row r="139" spans="1:6" ht="15.6" x14ac:dyDescent="0.3">
      <c r="A139" s="191"/>
      <c r="B139" s="1"/>
      <c r="C139" s="1"/>
      <c r="D139" s="1"/>
      <c r="E139" s="1"/>
      <c r="F139" s="1"/>
    </row>
    <row r="140" spans="1:6" ht="15.6" x14ac:dyDescent="0.3">
      <c r="A140" s="191"/>
      <c r="B140" s="1"/>
      <c r="C140" s="1"/>
      <c r="D140" s="1"/>
      <c r="E140" s="1"/>
      <c r="F140" s="1"/>
    </row>
    <row r="141" spans="1:6" ht="15.6" x14ac:dyDescent="0.3">
      <c r="A141" s="191"/>
      <c r="B141" s="1"/>
      <c r="C141" s="1"/>
      <c r="D141" s="1"/>
      <c r="E141" s="1"/>
      <c r="F141" s="1"/>
    </row>
    <row r="142" spans="1:6" ht="15.6" x14ac:dyDescent="0.3">
      <c r="A142" s="191"/>
      <c r="B142" s="1"/>
      <c r="C142" s="1"/>
      <c r="D142" s="1"/>
      <c r="E142" s="1"/>
      <c r="F142" s="1"/>
    </row>
    <row r="143" spans="1:6" ht="15.6" x14ac:dyDescent="0.3">
      <c r="A143" s="191"/>
      <c r="B143" s="1"/>
      <c r="C143" s="1"/>
      <c r="D143" s="1"/>
      <c r="E143" s="1"/>
      <c r="F143" s="1"/>
    </row>
    <row r="144" spans="1:6" ht="15.6" x14ac:dyDescent="0.3">
      <c r="A144" s="191"/>
      <c r="B144" s="1"/>
      <c r="C144" s="1"/>
      <c r="D144" s="1"/>
      <c r="E144" s="1"/>
      <c r="F144" s="1"/>
    </row>
    <row r="145" spans="1:6" ht="15.6" x14ac:dyDescent="0.3">
      <c r="A145" s="191"/>
      <c r="B145" s="1"/>
      <c r="C145" s="1"/>
      <c r="D145" s="1"/>
      <c r="E145" s="1"/>
      <c r="F145" s="1"/>
    </row>
    <row r="146" spans="1:6" ht="15.6" x14ac:dyDescent="0.3">
      <c r="A146" s="191"/>
      <c r="B146" s="1"/>
      <c r="C146" s="1"/>
      <c r="D146" s="1"/>
      <c r="E146" s="1"/>
      <c r="F146" s="1"/>
    </row>
    <row r="147" spans="1:6" ht="15.6" x14ac:dyDescent="0.3">
      <c r="A147" s="191"/>
      <c r="B147" s="1"/>
      <c r="C147" s="1"/>
      <c r="D147" s="1"/>
      <c r="E147" s="1"/>
      <c r="F147" s="1"/>
    </row>
    <row r="148" spans="1:6" ht="15.6" x14ac:dyDescent="0.3">
      <c r="A148" s="191"/>
      <c r="B148" s="1"/>
      <c r="C148" s="1"/>
      <c r="D148" s="1"/>
      <c r="E148" s="1"/>
      <c r="F148" s="1"/>
    </row>
    <row r="149" spans="1:6" ht="15.6" x14ac:dyDescent="0.3">
      <c r="A149" s="191"/>
      <c r="B149" s="1"/>
      <c r="C149" s="1"/>
      <c r="D149" s="1"/>
      <c r="E149" s="1"/>
      <c r="F149" s="1"/>
    </row>
    <row r="150" spans="1:6" ht="15.6" x14ac:dyDescent="0.3">
      <c r="A150" s="191"/>
      <c r="B150" s="1"/>
      <c r="C150" s="1"/>
      <c r="D150" s="1"/>
      <c r="E150" s="1"/>
      <c r="F150" s="1"/>
    </row>
    <row r="151" spans="1:6" ht="15.6" x14ac:dyDescent="0.3">
      <c r="A151" s="191"/>
      <c r="B151" s="1"/>
      <c r="C151" s="1"/>
      <c r="D151" s="1"/>
      <c r="E151" s="1"/>
      <c r="F151" s="1"/>
    </row>
    <row r="152" spans="1:6" ht="15.6" x14ac:dyDescent="0.3">
      <c r="A152" s="191"/>
      <c r="B152" s="1"/>
      <c r="C152" s="1"/>
      <c r="D152" s="1"/>
      <c r="E152" s="1"/>
      <c r="F152" s="1"/>
    </row>
    <row r="153" spans="1:6" ht="15.6" x14ac:dyDescent="0.3">
      <c r="A153" s="191"/>
      <c r="B153" s="1"/>
      <c r="C153" s="1"/>
      <c r="D153" s="1"/>
      <c r="E153" s="1"/>
      <c r="F153" s="1"/>
    </row>
    <row r="154" spans="1:6" ht="15.6" x14ac:dyDescent="0.3">
      <c r="A154" s="1"/>
      <c r="B154" s="1"/>
      <c r="C154" s="1"/>
      <c r="D154" s="1"/>
      <c r="E154" s="1"/>
      <c r="F154" s="1"/>
    </row>
    <row r="155" spans="1:6" ht="15.6" x14ac:dyDescent="0.3">
      <c r="A155" s="1"/>
      <c r="B155" s="1"/>
      <c r="C155" s="1"/>
      <c r="D155" s="1"/>
      <c r="E155" s="1"/>
      <c r="F155" s="1"/>
    </row>
    <row r="156" spans="1:6" ht="15.6" x14ac:dyDescent="0.3">
      <c r="A156" s="1"/>
      <c r="B156" s="1"/>
      <c r="C156" s="1"/>
      <c r="D156" s="1"/>
      <c r="E156" s="1"/>
      <c r="F156" s="1"/>
    </row>
    <row r="157" spans="1:6" ht="15.6" x14ac:dyDescent="0.3">
      <c r="A157" s="1"/>
      <c r="B157" s="1"/>
      <c r="C157" s="1"/>
      <c r="D157" s="1"/>
      <c r="E157" s="1"/>
      <c r="F157" s="1"/>
    </row>
    <row r="158" spans="1:6" ht="15.6" x14ac:dyDescent="0.3">
      <c r="A158" s="1"/>
      <c r="B158" s="1"/>
      <c r="C158" s="1"/>
      <c r="D158" s="1"/>
      <c r="E158" s="1"/>
      <c r="F158" s="1"/>
    </row>
    <row r="159" spans="1:6" ht="15.6" x14ac:dyDescent="0.3">
      <c r="B159" s="1"/>
    </row>
    <row r="160" spans="1:6" ht="15.6" x14ac:dyDescent="0.3">
      <c r="B160" s="1"/>
    </row>
  </sheetData>
  <mergeCells count="17">
    <mergeCell ref="B1:E1"/>
    <mergeCell ref="B43:C43"/>
    <mergeCell ref="B44:D44"/>
    <mergeCell ref="B2:E2"/>
    <mergeCell ref="B39:E39"/>
    <mergeCell ref="B46:F46"/>
    <mergeCell ref="H46:L46"/>
    <mergeCell ref="B99:E99"/>
    <mergeCell ref="B100:E100"/>
    <mergeCell ref="B110:E110"/>
    <mergeCell ref="B69:D69"/>
    <mergeCell ref="B125:E125"/>
    <mergeCell ref="D128:D136"/>
    <mergeCell ref="H69:J69"/>
    <mergeCell ref="H99:K99"/>
    <mergeCell ref="H100:K100"/>
    <mergeCell ref="H110:K110"/>
  </mergeCells>
  <phoneticPr fontId="12" type="noConversion"/>
  <pageMargins left="0.70866141732283472" right="0.70866141732283472" top="0.35433070866141736" bottom="0.35433070866141736" header="0.31496062992125984" footer="0.31496062992125984"/>
  <pageSetup paperSize="9" scale="52" orientation="portrait" r:id="rId1"/>
  <headerFooter alignWithMargins="0"/>
  <rowBreaks count="2" manualBreakCount="2">
    <brk id="38" max="16383" man="1"/>
    <brk id="101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6"/>
  <sheetViews>
    <sheetView view="pageBreakPreview" zoomScale="60" zoomScaleNormal="100" workbookViewId="0">
      <selection sqref="A1:F1"/>
    </sheetView>
  </sheetViews>
  <sheetFormatPr defaultRowHeight="13.8" x14ac:dyDescent="0.25"/>
  <cols>
    <col min="1" max="1" width="6" style="19" customWidth="1"/>
    <col min="2" max="2" width="61.5546875" style="19" customWidth="1"/>
    <col min="3" max="3" width="11.6640625" style="18" customWidth="1"/>
    <col min="4" max="4" width="12.6640625" style="87" customWidth="1"/>
    <col min="5" max="5" width="19.109375" style="18" customWidth="1"/>
    <col min="6" max="6" width="14.6640625" style="18" customWidth="1"/>
    <col min="7" max="7" width="57.109375" style="18" customWidth="1"/>
    <col min="8" max="16384" width="8.88671875" style="19"/>
  </cols>
  <sheetData>
    <row r="1" spans="1:7" ht="47.4" customHeight="1" x14ac:dyDescent="0.25">
      <c r="A1" s="265" t="s">
        <v>225</v>
      </c>
      <c r="B1" s="265"/>
      <c r="C1" s="265"/>
      <c r="D1" s="265"/>
      <c r="E1" s="265"/>
      <c r="F1" s="265"/>
    </row>
    <row r="3" spans="1:7" s="46" customFormat="1" x14ac:dyDescent="0.3">
      <c r="C3" s="47"/>
      <c r="D3" s="48"/>
      <c r="E3" s="47"/>
      <c r="F3" s="47"/>
      <c r="G3" s="47"/>
    </row>
    <row r="4" spans="1:7" s="46" customFormat="1" x14ac:dyDescent="0.3">
      <c r="C4" s="47"/>
      <c r="D4" s="48"/>
      <c r="E4" s="47"/>
      <c r="F4" s="47"/>
      <c r="G4" s="47" t="s">
        <v>159</v>
      </c>
    </row>
    <row r="5" spans="1:7" s="50" customFormat="1" ht="37.200000000000003" customHeight="1" x14ac:dyDescent="0.3">
      <c r="A5" s="269" t="s">
        <v>208</v>
      </c>
      <c r="B5" s="269"/>
      <c r="C5" s="269"/>
      <c r="D5" s="269"/>
      <c r="E5" s="269"/>
      <c r="F5" s="269"/>
      <c r="G5" s="49"/>
    </row>
    <row r="6" spans="1:7" s="50" customFormat="1" ht="17.399999999999999" x14ac:dyDescent="0.3">
      <c r="A6" s="104"/>
      <c r="B6" s="104"/>
      <c r="C6" s="104"/>
      <c r="D6" s="104"/>
      <c r="E6" s="104"/>
      <c r="F6" s="104"/>
      <c r="G6" s="49"/>
    </row>
    <row r="7" spans="1:7" s="50" customFormat="1" ht="45.6" customHeight="1" x14ac:dyDescent="0.3">
      <c r="A7" s="270" t="s">
        <v>241</v>
      </c>
      <c r="B7" s="270"/>
      <c r="C7" s="270"/>
      <c r="D7" s="113">
        <f>'1.Расчет отлов'!C5</f>
        <v>9745</v>
      </c>
      <c r="E7" s="106"/>
      <c r="F7" s="106"/>
      <c r="G7" s="49"/>
    </row>
    <row r="8" spans="1:7" s="50" customFormat="1" ht="17.399999999999999" x14ac:dyDescent="0.3">
      <c r="A8" s="45"/>
      <c r="B8" s="45"/>
      <c r="C8" s="45"/>
      <c r="D8" s="45"/>
      <c r="E8" s="45"/>
      <c r="F8" s="45"/>
      <c r="G8" s="49"/>
    </row>
    <row r="9" spans="1:7" s="50" customFormat="1" ht="27.6" x14ac:dyDescent="0.3">
      <c r="A9" s="51" t="s">
        <v>119</v>
      </c>
      <c r="B9" s="52" t="s">
        <v>120</v>
      </c>
      <c r="C9" s="53" t="s">
        <v>121</v>
      </c>
      <c r="D9" s="54" t="s">
        <v>17</v>
      </c>
      <c r="E9" s="49"/>
      <c r="F9" s="49"/>
      <c r="G9" s="49"/>
    </row>
    <row r="10" spans="1:7" s="50" customFormat="1" x14ac:dyDescent="0.3">
      <c r="A10" s="23" t="s">
        <v>154</v>
      </c>
      <c r="B10" s="55" t="s">
        <v>146</v>
      </c>
      <c r="C10" s="53" t="s">
        <v>122</v>
      </c>
      <c r="D10" s="54">
        <v>13949.5</v>
      </c>
      <c r="E10" s="49"/>
      <c r="F10" s="49"/>
      <c r="G10" s="49"/>
    </row>
    <row r="11" spans="1:7" s="50" customFormat="1" ht="27.6" x14ac:dyDescent="0.3">
      <c r="A11" s="23" t="s">
        <v>155</v>
      </c>
      <c r="B11" s="55" t="s">
        <v>149</v>
      </c>
      <c r="C11" s="53" t="s">
        <v>123</v>
      </c>
      <c r="D11" s="54">
        <v>4</v>
      </c>
      <c r="E11" s="49"/>
      <c r="F11" s="49"/>
      <c r="G11" s="49"/>
    </row>
    <row r="12" spans="1:7" s="50" customFormat="1" ht="27.6" x14ac:dyDescent="0.3">
      <c r="A12" s="23" t="s">
        <v>156</v>
      </c>
      <c r="B12" s="55" t="s">
        <v>135</v>
      </c>
      <c r="C12" s="53" t="s">
        <v>122</v>
      </c>
      <c r="D12" s="54">
        <f>D10*D11*12</f>
        <v>669576</v>
      </c>
      <c r="E12" s="49"/>
      <c r="F12" s="49"/>
      <c r="G12" s="49"/>
    </row>
    <row r="13" spans="1:7" s="50" customFormat="1" x14ac:dyDescent="0.3">
      <c r="A13" s="23" t="s">
        <v>157</v>
      </c>
      <c r="B13" s="55" t="s">
        <v>136</v>
      </c>
      <c r="C13" s="53" t="s">
        <v>122</v>
      </c>
      <c r="D13" s="54">
        <f>D12*0.302</f>
        <v>202211.95199999999</v>
      </c>
      <c r="E13" s="49"/>
      <c r="F13" s="49"/>
      <c r="G13" s="49"/>
    </row>
    <row r="14" spans="1:7" s="50" customFormat="1" ht="41.4" x14ac:dyDescent="0.3">
      <c r="A14" s="23" t="s">
        <v>158</v>
      </c>
      <c r="B14" s="40" t="s">
        <v>244</v>
      </c>
      <c r="C14" s="53" t="s">
        <v>147</v>
      </c>
      <c r="D14" s="84">
        <f>D7*0.95</f>
        <v>9257.75</v>
      </c>
      <c r="E14" s="49"/>
      <c r="F14" s="49"/>
      <c r="G14" s="49"/>
    </row>
    <row r="15" spans="1:7" s="50" customFormat="1" ht="74.400000000000006" customHeight="1" x14ac:dyDescent="0.3">
      <c r="A15" s="266" t="s">
        <v>148</v>
      </c>
      <c r="B15" s="266"/>
      <c r="C15" s="56" t="s">
        <v>122</v>
      </c>
      <c r="D15" s="57">
        <f>(D12+D13)/D14/365*20</f>
        <v>5.1599149738667682</v>
      </c>
      <c r="E15" s="49"/>
      <c r="F15" s="49"/>
      <c r="G15" s="105" t="s">
        <v>283</v>
      </c>
    </row>
    <row r="16" spans="1:7" s="50" customFormat="1" ht="14.4" customHeight="1" x14ac:dyDescent="0.3">
      <c r="A16" s="58"/>
      <c r="B16" s="58"/>
      <c r="C16" s="47"/>
      <c r="D16" s="48"/>
      <c r="E16" s="49"/>
      <c r="F16" s="49"/>
      <c r="G16" s="49"/>
    </row>
    <row r="17" spans="1:7" s="50" customFormat="1" ht="26.4" customHeight="1" x14ac:dyDescent="0.3">
      <c r="A17" s="265" t="s">
        <v>207</v>
      </c>
      <c r="B17" s="265"/>
      <c r="C17" s="265"/>
      <c r="D17" s="265"/>
      <c r="E17" s="265"/>
      <c r="F17" s="265"/>
      <c r="G17" s="49"/>
    </row>
    <row r="18" spans="1:7" s="50" customFormat="1" ht="14.4" customHeight="1" x14ac:dyDescent="0.3">
      <c r="A18" s="58"/>
      <c r="B18" s="58"/>
      <c r="C18" s="47"/>
      <c r="D18" s="48"/>
      <c r="E18" s="49"/>
      <c r="F18" s="49"/>
      <c r="G18" s="49"/>
    </row>
    <row r="19" spans="1:7" s="50" customFormat="1" ht="14.4" customHeight="1" x14ac:dyDescent="0.3">
      <c r="A19" s="59">
        <v>1</v>
      </c>
      <c r="B19" s="95" t="s">
        <v>224</v>
      </c>
      <c r="C19" s="95"/>
      <c r="D19" s="95"/>
      <c r="E19" s="95"/>
      <c r="F19" s="95"/>
      <c r="G19" s="49"/>
    </row>
    <row r="20" spans="1:7" s="50" customFormat="1" ht="14.4" customHeight="1" x14ac:dyDescent="0.3">
      <c r="A20" s="47"/>
      <c r="B20" s="58"/>
      <c r="C20" s="47"/>
      <c r="D20" s="48"/>
      <c r="E20" s="49"/>
      <c r="F20" s="49"/>
      <c r="G20" s="49"/>
    </row>
    <row r="21" spans="1:7" s="50" customFormat="1" ht="72.599999999999994" customHeight="1" x14ac:dyDescent="0.3">
      <c r="A21" s="59">
        <v>2</v>
      </c>
      <c r="B21" s="271" t="s">
        <v>226</v>
      </c>
      <c r="C21" s="271"/>
      <c r="D21" s="271"/>
      <c r="E21" s="271"/>
      <c r="F21" s="271"/>
      <c r="G21" s="49"/>
    </row>
    <row r="22" spans="1:7" s="50" customFormat="1" x14ac:dyDescent="0.3">
      <c r="A22" s="59"/>
      <c r="B22" s="88"/>
      <c r="C22" s="88"/>
      <c r="D22" s="88"/>
      <c r="E22" s="88"/>
      <c r="F22" s="88"/>
      <c r="G22" s="49"/>
    </row>
    <row r="23" spans="1:7" s="50" customFormat="1" ht="14.4" customHeight="1" x14ac:dyDescent="0.3">
      <c r="A23" s="60" t="s">
        <v>191</v>
      </c>
      <c r="B23" s="61" t="s">
        <v>190</v>
      </c>
      <c r="C23" s="47"/>
      <c r="D23" s="48"/>
      <c r="E23" s="49"/>
      <c r="F23" s="49"/>
      <c r="G23" s="49"/>
    </row>
    <row r="24" spans="1:7" s="50" customFormat="1" ht="28.2" customHeight="1" x14ac:dyDescent="0.3">
      <c r="A24" s="23" t="s">
        <v>119</v>
      </c>
      <c r="B24" s="23" t="s">
        <v>64</v>
      </c>
      <c r="C24" s="54" t="s">
        <v>138</v>
      </c>
      <c r="D24" s="54" t="s">
        <v>141</v>
      </c>
      <c r="E24" s="49"/>
      <c r="F24" s="49"/>
      <c r="G24" s="49"/>
    </row>
    <row r="25" spans="1:7" s="50" customFormat="1" ht="28.2" customHeight="1" x14ac:dyDescent="0.3">
      <c r="A25" s="107" t="s">
        <v>154</v>
      </c>
      <c r="B25" s="40" t="s">
        <v>244</v>
      </c>
      <c r="C25" s="53" t="s">
        <v>147</v>
      </c>
      <c r="D25" s="84">
        <f>D7</f>
        <v>9745</v>
      </c>
      <c r="E25" s="49"/>
      <c r="F25" s="49"/>
      <c r="G25" s="49"/>
    </row>
    <row r="26" spans="1:7" s="50" customFormat="1" ht="14.4" customHeight="1" x14ac:dyDescent="0.3">
      <c r="A26" s="53">
        <v>2</v>
      </c>
      <c r="B26" s="62" t="s">
        <v>188</v>
      </c>
      <c r="C26" s="53" t="s">
        <v>187</v>
      </c>
      <c r="D26" s="54">
        <v>5</v>
      </c>
      <c r="E26" s="49"/>
      <c r="F26" s="49"/>
      <c r="G26" s="49"/>
    </row>
    <row r="27" spans="1:7" ht="19.5" customHeight="1" x14ac:dyDescent="0.25">
      <c r="A27" s="267" t="s">
        <v>189</v>
      </c>
      <c r="B27" s="268"/>
      <c r="C27" s="66" t="s">
        <v>147</v>
      </c>
      <c r="D27" s="120">
        <f>D25*0.05</f>
        <v>487.25</v>
      </c>
    </row>
    <row r="28" spans="1:7" x14ac:dyDescent="0.25">
      <c r="A28" s="67"/>
      <c r="B28" s="18"/>
      <c r="C28" s="32"/>
      <c r="D28" s="33"/>
    </row>
    <row r="29" spans="1:7" ht="14.4" x14ac:dyDescent="0.25">
      <c r="A29" s="34" t="s">
        <v>192</v>
      </c>
      <c r="B29" s="264" t="s">
        <v>193</v>
      </c>
      <c r="C29" s="264"/>
      <c r="D29" s="264"/>
      <c r="E29" s="264"/>
      <c r="F29" s="264"/>
    </row>
    <row r="30" spans="1:7" ht="27.6" x14ac:dyDescent="0.25">
      <c r="A30" s="23" t="s">
        <v>119</v>
      </c>
      <c r="B30" s="23" t="s">
        <v>64</v>
      </c>
      <c r="C30" s="54" t="s">
        <v>138</v>
      </c>
      <c r="D30" s="54" t="s">
        <v>139</v>
      </c>
      <c r="E30" s="54" t="s">
        <v>140</v>
      </c>
      <c r="F30" s="53" t="s">
        <v>141</v>
      </c>
      <c r="G30" s="47"/>
    </row>
    <row r="31" spans="1:7" x14ac:dyDescent="0.25">
      <c r="A31" s="23" t="s">
        <v>154</v>
      </c>
      <c r="B31" s="68" t="s">
        <v>133</v>
      </c>
      <c r="C31" s="26" t="s">
        <v>4</v>
      </c>
      <c r="D31" s="27">
        <v>2</v>
      </c>
      <c r="E31" s="53">
        <v>24.98</v>
      </c>
      <c r="F31" s="53">
        <f>D31*E31</f>
        <v>49.96</v>
      </c>
      <c r="G31" s="49" t="s">
        <v>180</v>
      </c>
    </row>
    <row r="32" spans="1:7" x14ac:dyDescent="0.25">
      <c r="A32" s="23" t="s">
        <v>155</v>
      </c>
      <c r="B32" s="68" t="s">
        <v>132</v>
      </c>
      <c r="C32" s="28" t="s">
        <v>4</v>
      </c>
      <c r="D32" s="29">
        <v>2</v>
      </c>
      <c r="E32" s="69">
        <v>23.2</v>
      </c>
      <c r="F32" s="69">
        <f>D32*E32</f>
        <v>46.4</v>
      </c>
      <c r="G32" s="49" t="s">
        <v>181</v>
      </c>
    </row>
    <row r="33" spans="1:7" x14ac:dyDescent="0.25">
      <c r="A33" s="23" t="s">
        <v>156</v>
      </c>
      <c r="B33" s="68" t="s">
        <v>134</v>
      </c>
      <c r="C33" s="26" t="s">
        <v>1</v>
      </c>
      <c r="D33" s="27">
        <v>1</v>
      </c>
      <c r="E33" s="53">
        <v>2.25</v>
      </c>
      <c r="F33" s="53">
        <f>D33*E33</f>
        <v>2.25</v>
      </c>
      <c r="G33" s="49"/>
    </row>
    <row r="34" spans="1:7" x14ac:dyDescent="0.25">
      <c r="A34" s="272" t="s">
        <v>182</v>
      </c>
      <c r="B34" s="272"/>
      <c r="C34" s="272"/>
      <c r="D34" s="272"/>
      <c r="E34" s="272"/>
      <c r="F34" s="70">
        <f>SUM(F31:F33)</f>
        <v>98.61</v>
      </c>
    </row>
    <row r="35" spans="1:7" x14ac:dyDescent="0.25">
      <c r="A35" s="67"/>
      <c r="B35" s="18"/>
      <c r="C35" s="32"/>
      <c r="D35" s="33"/>
    </row>
    <row r="36" spans="1:7" ht="14.4" x14ac:dyDescent="0.3">
      <c r="A36" s="71" t="s">
        <v>106</v>
      </c>
      <c r="B36" s="72" t="s">
        <v>194</v>
      </c>
      <c r="C36" s="32"/>
      <c r="D36" s="33"/>
    </row>
    <row r="37" spans="1:7" ht="27.6" x14ac:dyDescent="0.25">
      <c r="A37" s="23" t="s">
        <v>119</v>
      </c>
      <c r="B37" s="23" t="s">
        <v>64</v>
      </c>
      <c r="C37" s="54" t="s">
        <v>138</v>
      </c>
      <c r="D37" s="54" t="s">
        <v>183</v>
      </c>
    </row>
    <row r="38" spans="1:7" x14ac:dyDescent="0.25">
      <c r="A38" s="20" t="s">
        <v>154</v>
      </c>
      <c r="B38" s="21" t="s">
        <v>184</v>
      </c>
      <c r="C38" s="53" t="s">
        <v>185</v>
      </c>
      <c r="D38" s="54">
        <v>20</v>
      </c>
    </row>
    <row r="39" spans="1:7" ht="27.6" x14ac:dyDescent="0.25">
      <c r="A39" s="23" t="s">
        <v>155</v>
      </c>
      <c r="B39" s="24" t="s">
        <v>186</v>
      </c>
      <c r="C39" s="53" t="s">
        <v>122</v>
      </c>
      <c r="D39" s="54">
        <v>10</v>
      </c>
    </row>
    <row r="40" spans="1:7" x14ac:dyDescent="0.25">
      <c r="A40" s="278" t="s">
        <v>197</v>
      </c>
      <c r="B40" s="278"/>
      <c r="C40" s="25" t="s">
        <v>122</v>
      </c>
      <c r="D40" s="57">
        <f>D38*D39</f>
        <v>200</v>
      </c>
      <c r="F40" s="121">
        <f>F34+D40</f>
        <v>298.61</v>
      </c>
      <c r="G40" s="198">
        <f>D27*F40</f>
        <v>145497.7225</v>
      </c>
    </row>
    <row r="41" spans="1:7" s="206" customFormat="1" x14ac:dyDescent="0.25">
      <c r="A41" s="204"/>
      <c r="B41" s="204"/>
      <c r="C41" s="209"/>
      <c r="D41" s="110"/>
      <c r="E41" s="207"/>
      <c r="F41" s="121"/>
      <c r="G41" s="198"/>
    </row>
    <row r="42" spans="1:7" s="206" customFormat="1" x14ac:dyDescent="0.25">
      <c r="A42" s="204"/>
      <c r="B42" s="204"/>
      <c r="C42" s="209"/>
      <c r="D42" s="110"/>
      <c r="E42" s="207"/>
      <c r="F42" s="121"/>
      <c r="G42" s="198"/>
    </row>
    <row r="43" spans="1:7" s="206" customFormat="1" ht="15.6" x14ac:dyDescent="0.25">
      <c r="A43" s="279" t="s">
        <v>328</v>
      </c>
      <c r="B43" s="273"/>
      <c r="C43" s="273"/>
      <c r="D43" s="273"/>
      <c r="E43" s="273"/>
      <c r="F43" s="273"/>
      <c r="G43" s="198"/>
    </row>
    <row r="44" spans="1:7" s="206" customFormat="1" ht="27.6" x14ac:dyDescent="0.25">
      <c r="A44" s="280" t="s">
        <v>64</v>
      </c>
      <c r="B44" s="280"/>
      <c r="C44" s="54" t="s">
        <v>138</v>
      </c>
      <c r="D44" s="54" t="s">
        <v>139</v>
      </c>
      <c r="E44" s="54" t="s">
        <v>141</v>
      </c>
      <c r="F44" s="92"/>
      <c r="G44" s="198"/>
    </row>
    <row r="45" spans="1:7" s="206" customFormat="1" ht="41.4" x14ac:dyDescent="0.25">
      <c r="A45" s="281" t="s">
        <v>162</v>
      </c>
      <c r="B45" s="281"/>
      <c r="C45" s="205" t="s">
        <v>161</v>
      </c>
      <c r="D45" s="84">
        <v>5</v>
      </c>
      <c r="E45" s="69">
        <f>F40*D45/100</f>
        <v>14.930500000000002</v>
      </c>
      <c r="F45" s="85"/>
      <c r="G45" s="198"/>
    </row>
    <row r="46" spans="1:7" s="206" customFormat="1" ht="41.4" x14ac:dyDescent="0.25">
      <c r="A46" s="281" t="s">
        <v>160</v>
      </c>
      <c r="B46" s="281"/>
      <c r="C46" s="205" t="s">
        <v>161</v>
      </c>
      <c r="D46" s="84">
        <v>5</v>
      </c>
      <c r="E46" s="69">
        <f>F40*D46/100</f>
        <v>14.930500000000002</v>
      </c>
      <c r="F46" s="207"/>
      <c r="G46" s="198"/>
    </row>
    <row r="47" spans="1:7" s="206" customFormat="1" ht="36" customHeight="1" x14ac:dyDescent="0.25">
      <c r="A47" s="282" t="s">
        <v>329</v>
      </c>
      <c r="B47" s="282"/>
      <c r="C47" s="282"/>
      <c r="D47" s="282"/>
      <c r="E47" s="86">
        <f>E45+E46</f>
        <v>29.861000000000004</v>
      </c>
      <c r="F47" s="207"/>
      <c r="G47" s="198">
        <f>E47*D27</f>
        <v>14549.772250000002</v>
      </c>
    </row>
    <row r="48" spans="1:7" s="206" customFormat="1" x14ac:dyDescent="0.25">
      <c r="A48" s="204"/>
      <c r="B48" s="204"/>
      <c r="C48" s="209"/>
      <c r="D48" s="110"/>
      <c r="E48" s="207"/>
      <c r="F48" s="121"/>
      <c r="G48" s="198"/>
    </row>
    <row r="49" spans="1:7" s="206" customFormat="1" ht="31.2" customHeight="1" x14ac:dyDescent="0.25">
      <c r="A49" s="283" t="s">
        <v>330</v>
      </c>
      <c r="B49" s="283"/>
      <c r="C49" s="283"/>
      <c r="D49" s="283"/>
      <c r="E49" s="228">
        <f>E47+D40+F34</f>
        <v>328.471</v>
      </c>
      <c r="F49" s="121"/>
      <c r="G49" s="198">
        <f>G40+G47</f>
        <v>160047.49475000001</v>
      </c>
    </row>
    <row r="50" spans="1:7" x14ac:dyDescent="0.25">
      <c r="A50" s="73"/>
      <c r="B50" s="18"/>
      <c r="C50" s="32"/>
      <c r="D50" s="33"/>
    </row>
    <row r="51" spans="1:7" ht="27.6" customHeight="1" x14ac:dyDescent="0.25">
      <c r="A51" s="74" t="s">
        <v>108</v>
      </c>
      <c r="B51" s="271" t="s">
        <v>223</v>
      </c>
      <c r="C51" s="271"/>
      <c r="D51" s="271"/>
      <c r="E51" s="271"/>
      <c r="F51" s="271"/>
    </row>
    <row r="52" spans="1:7" x14ac:dyDescent="0.25">
      <c r="A52" s="74"/>
      <c r="B52" s="88"/>
      <c r="C52" s="88"/>
      <c r="D52" s="88"/>
      <c r="E52" s="88"/>
      <c r="F52" s="88"/>
    </row>
    <row r="53" spans="1:7" ht="30.6" customHeight="1" x14ac:dyDescent="0.25">
      <c r="A53" s="75" t="s">
        <v>109</v>
      </c>
      <c r="B53" s="264" t="s">
        <v>220</v>
      </c>
      <c r="C53" s="264"/>
      <c r="D53" s="264"/>
      <c r="E53" s="264"/>
      <c r="F53" s="264"/>
    </row>
    <row r="54" spans="1:7" s="46" customFormat="1" ht="27.6" x14ac:dyDescent="0.3">
      <c r="A54" s="23" t="s">
        <v>119</v>
      </c>
      <c r="B54" s="23" t="s">
        <v>64</v>
      </c>
      <c r="C54" s="54" t="s">
        <v>138</v>
      </c>
      <c r="D54" s="54" t="s">
        <v>139</v>
      </c>
      <c r="E54" s="54" t="s">
        <v>140</v>
      </c>
      <c r="F54" s="53" t="s">
        <v>141</v>
      </c>
      <c r="G54" s="47"/>
    </row>
    <row r="55" spans="1:7" s="50" customFormat="1" ht="27.6" x14ac:dyDescent="0.3">
      <c r="A55" s="23" t="s">
        <v>154</v>
      </c>
      <c r="B55" s="30" t="s">
        <v>124</v>
      </c>
      <c r="C55" s="53" t="s">
        <v>137</v>
      </c>
      <c r="D55" s="54">
        <v>2</v>
      </c>
      <c r="E55" s="53">
        <v>7.6</v>
      </c>
      <c r="F55" s="53">
        <f>D55*E55</f>
        <v>15.2</v>
      </c>
      <c r="G55" s="49" t="s">
        <v>143</v>
      </c>
    </row>
    <row r="56" spans="1:7" x14ac:dyDescent="0.25">
      <c r="A56" s="20" t="s">
        <v>155</v>
      </c>
      <c r="B56" s="30" t="s">
        <v>125</v>
      </c>
      <c r="C56" s="64" t="s">
        <v>137</v>
      </c>
      <c r="D56" s="65">
        <v>2</v>
      </c>
      <c r="E56" s="76">
        <v>8</v>
      </c>
      <c r="F56" s="76">
        <f>D56*E56</f>
        <v>16</v>
      </c>
      <c r="G56" s="49" t="s">
        <v>144</v>
      </c>
    </row>
    <row r="57" spans="1:7" x14ac:dyDescent="0.25">
      <c r="A57" s="20" t="s">
        <v>156</v>
      </c>
      <c r="B57" s="30" t="s">
        <v>298</v>
      </c>
      <c r="C57" s="64" t="s">
        <v>137</v>
      </c>
      <c r="D57" s="65">
        <v>2</v>
      </c>
      <c r="E57" s="76">
        <v>6.16</v>
      </c>
      <c r="F57" s="76">
        <f>D57*E57</f>
        <v>12.32</v>
      </c>
      <c r="G57" s="49" t="s">
        <v>299</v>
      </c>
    </row>
    <row r="58" spans="1:7" ht="28.95" customHeight="1" x14ac:dyDescent="0.25">
      <c r="A58" s="274" t="s">
        <v>221</v>
      </c>
      <c r="B58" s="274"/>
      <c r="C58" s="274"/>
      <c r="D58" s="274"/>
      <c r="E58" s="274"/>
      <c r="F58" s="70">
        <f>F55+F56+F57</f>
        <v>43.519999999999996</v>
      </c>
      <c r="G58" s="198">
        <f>F58*9258</f>
        <v>402908.15999999997</v>
      </c>
    </row>
    <row r="59" spans="1:7" x14ac:dyDescent="0.25">
      <c r="A59" s="67"/>
      <c r="B59" s="18"/>
      <c r="C59" s="32"/>
      <c r="D59" s="33"/>
      <c r="F59" s="77"/>
    </row>
    <row r="60" spans="1:7" x14ac:dyDescent="0.25">
      <c r="A60" s="31" t="s">
        <v>107</v>
      </c>
      <c r="B60" s="289" t="s">
        <v>198</v>
      </c>
      <c r="C60" s="289"/>
      <c r="D60" s="289"/>
      <c r="E60" s="289"/>
      <c r="F60" s="289"/>
      <c r="G60" s="19"/>
    </row>
    <row r="61" spans="1:7" x14ac:dyDescent="0.25">
      <c r="A61" s="31"/>
      <c r="B61" s="89"/>
      <c r="C61" s="89"/>
      <c r="D61" s="89"/>
      <c r="E61" s="89"/>
      <c r="F61" s="89"/>
      <c r="G61" s="19"/>
    </row>
    <row r="62" spans="1:7" s="39" customFormat="1" ht="14.4" x14ac:dyDescent="0.25">
      <c r="A62" s="34" t="s">
        <v>195</v>
      </c>
      <c r="B62" s="34" t="s">
        <v>196</v>
      </c>
      <c r="C62" s="35"/>
      <c r="D62" s="36"/>
      <c r="E62" s="37"/>
      <c r="F62" s="38"/>
    </row>
    <row r="63" spans="1:7" ht="27" customHeight="1" x14ac:dyDescent="0.25">
      <c r="A63" s="23" t="s">
        <v>119</v>
      </c>
      <c r="B63" s="23" t="s">
        <v>64</v>
      </c>
      <c r="C63" s="54" t="s">
        <v>138</v>
      </c>
      <c r="D63" s="54" t="s">
        <v>139</v>
      </c>
      <c r="E63" s="54" t="s">
        <v>140</v>
      </c>
      <c r="F63" s="53" t="s">
        <v>141</v>
      </c>
      <c r="G63" s="19"/>
    </row>
    <row r="64" spans="1:7" x14ac:dyDescent="0.25">
      <c r="A64" s="20" t="s">
        <v>154</v>
      </c>
      <c r="B64" s="21" t="s">
        <v>151</v>
      </c>
      <c r="C64" s="64" t="s">
        <v>142</v>
      </c>
      <c r="D64" s="65">
        <v>250</v>
      </c>
      <c r="E64" s="63">
        <v>0.28999999999999998</v>
      </c>
      <c r="F64" s="76">
        <f>D64*E64</f>
        <v>72.5</v>
      </c>
      <c r="G64" s="18" t="s">
        <v>145</v>
      </c>
    </row>
    <row r="65" spans="1:7" x14ac:dyDescent="0.25">
      <c r="A65" s="20" t="s">
        <v>155</v>
      </c>
      <c r="B65" s="21" t="s">
        <v>152</v>
      </c>
      <c r="C65" s="64" t="s">
        <v>153</v>
      </c>
      <c r="D65" s="65">
        <v>10</v>
      </c>
      <c r="E65" s="63"/>
      <c r="F65" s="76">
        <v>10</v>
      </c>
    </row>
    <row r="66" spans="1:7" x14ac:dyDescent="0.25">
      <c r="A66" s="276" t="s">
        <v>150</v>
      </c>
      <c r="B66" s="276"/>
      <c r="C66" s="276"/>
      <c r="D66" s="276"/>
      <c r="E66" s="276"/>
      <c r="F66" s="102">
        <f>F64*F65</f>
        <v>725</v>
      </c>
    </row>
    <row r="67" spans="1:7" x14ac:dyDescent="0.25">
      <c r="A67" s="78"/>
      <c r="B67" s="78"/>
      <c r="C67" s="78"/>
      <c r="D67" s="78"/>
      <c r="E67" s="78"/>
      <c r="F67" s="79"/>
    </row>
    <row r="68" spans="1:7" x14ac:dyDescent="0.25">
      <c r="A68" s="78" t="s">
        <v>199</v>
      </c>
      <c r="B68" s="78" t="s">
        <v>212</v>
      </c>
      <c r="C68" s="78"/>
      <c r="D68" s="78"/>
      <c r="E68" s="78"/>
      <c r="F68" s="79"/>
    </row>
    <row r="69" spans="1:7" x14ac:dyDescent="0.25">
      <c r="A69" s="78"/>
      <c r="B69" s="78"/>
      <c r="C69" s="78"/>
      <c r="D69" s="78"/>
      <c r="E69" s="78"/>
      <c r="F69" s="79"/>
    </row>
    <row r="70" spans="1:7" x14ac:dyDescent="0.25">
      <c r="A70" s="78" t="s">
        <v>200</v>
      </c>
      <c r="B70" s="78" t="s">
        <v>219</v>
      </c>
      <c r="C70" s="78"/>
      <c r="D70" s="78"/>
      <c r="E70" s="78"/>
      <c r="F70" s="79"/>
    </row>
    <row r="71" spans="1:7" ht="27.6" x14ac:dyDescent="0.25">
      <c r="A71" s="23" t="s">
        <v>119</v>
      </c>
      <c r="B71" s="23" t="s">
        <v>64</v>
      </c>
      <c r="C71" s="54" t="s">
        <v>138</v>
      </c>
      <c r="D71" s="54" t="s">
        <v>139</v>
      </c>
      <c r="E71" s="54" t="s">
        <v>140</v>
      </c>
      <c r="F71" s="53" t="s">
        <v>141</v>
      </c>
      <c r="G71" s="47"/>
    </row>
    <row r="72" spans="1:7" x14ac:dyDescent="0.25">
      <c r="A72" s="23" t="s">
        <v>154</v>
      </c>
      <c r="B72" s="40" t="s">
        <v>116</v>
      </c>
      <c r="C72" s="26" t="s">
        <v>4</v>
      </c>
      <c r="D72" s="27">
        <v>2</v>
      </c>
      <c r="E72" s="53">
        <v>13.22</v>
      </c>
      <c r="F72" s="53">
        <f>D72*E72</f>
        <v>26.44</v>
      </c>
      <c r="G72" s="49" t="s">
        <v>163</v>
      </c>
    </row>
    <row r="73" spans="1:7" x14ac:dyDescent="0.25">
      <c r="A73" s="23" t="s">
        <v>155</v>
      </c>
      <c r="B73" s="41" t="s">
        <v>117</v>
      </c>
      <c r="C73" s="28" t="s">
        <v>4</v>
      </c>
      <c r="D73" s="29">
        <v>1</v>
      </c>
      <c r="E73" s="69">
        <v>520</v>
      </c>
      <c r="F73" s="69">
        <f t="shared" ref="F73:F84" si="0">D73*E73</f>
        <v>520</v>
      </c>
      <c r="G73" s="49" t="s">
        <v>164</v>
      </c>
    </row>
    <row r="74" spans="1:7" x14ac:dyDescent="0.25">
      <c r="A74" s="23" t="s">
        <v>156</v>
      </c>
      <c r="B74" s="40" t="s">
        <v>5</v>
      </c>
      <c r="C74" s="26" t="s">
        <v>4</v>
      </c>
      <c r="D74" s="27">
        <v>2</v>
      </c>
      <c r="E74" s="53">
        <v>4.78</v>
      </c>
      <c r="F74" s="53">
        <f t="shared" si="0"/>
        <v>9.56</v>
      </c>
      <c r="G74" s="49" t="s">
        <v>165</v>
      </c>
    </row>
    <row r="75" spans="1:7" x14ac:dyDescent="0.25">
      <c r="A75" s="23" t="s">
        <v>157</v>
      </c>
      <c r="B75" s="42" t="s">
        <v>6</v>
      </c>
      <c r="C75" s="43" t="s">
        <v>118</v>
      </c>
      <c r="D75" s="44">
        <v>2.5</v>
      </c>
      <c r="E75" s="53">
        <v>0.64</v>
      </c>
      <c r="F75" s="53">
        <f t="shared" si="0"/>
        <v>1.6</v>
      </c>
      <c r="G75" s="49" t="s">
        <v>166</v>
      </c>
    </row>
    <row r="76" spans="1:7" x14ac:dyDescent="0.25">
      <c r="A76" s="23" t="s">
        <v>158</v>
      </c>
      <c r="B76" s="42" t="s">
        <v>126</v>
      </c>
      <c r="C76" s="43" t="s">
        <v>127</v>
      </c>
      <c r="D76" s="44">
        <v>0.2</v>
      </c>
      <c r="E76" s="53">
        <v>7.79</v>
      </c>
      <c r="F76" s="69">
        <f t="shared" si="0"/>
        <v>1.5580000000000001</v>
      </c>
      <c r="G76" s="49" t="s">
        <v>167</v>
      </c>
    </row>
    <row r="77" spans="1:7" x14ac:dyDescent="0.25">
      <c r="A77" s="23" t="s">
        <v>173</v>
      </c>
      <c r="B77" s="42" t="s">
        <v>7</v>
      </c>
      <c r="C77" s="43" t="s">
        <v>8</v>
      </c>
      <c r="D77" s="44">
        <v>1</v>
      </c>
      <c r="E77" s="53">
        <v>19.739999999999998</v>
      </c>
      <c r="F77" s="53">
        <f t="shared" si="0"/>
        <v>19.739999999999998</v>
      </c>
      <c r="G77" s="49"/>
    </row>
    <row r="78" spans="1:7" x14ac:dyDescent="0.25">
      <c r="A78" s="23" t="s">
        <v>172</v>
      </c>
      <c r="B78" s="42" t="s">
        <v>9</v>
      </c>
      <c r="C78" s="43" t="s">
        <v>8</v>
      </c>
      <c r="D78" s="44">
        <v>1</v>
      </c>
      <c r="E78" s="53">
        <v>4.0999999999999996</v>
      </c>
      <c r="F78" s="53">
        <f t="shared" si="0"/>
        <v>4.0999999999999996</v>
      </c>
      <c r="G78" s="49"/>
    </row>
    <row r="79" spans="1:7" x14ac:dyDescent="0.25">
      <c r="A79" s="23" t="s">
        <v>174</v>
      </c>
      <c r="B79" s="42" t="s">
        <v>128</v>
      </c>
      <c r="C79" s="43" t="s">
        <v>4</v>
      </c>
      <c r="D79" s="44">
        <v>20</v>
      </c>
      <c r="E79" s="53">
        <v>0.3</v>
      </c>
      <c r="F79" s="53">
        <f t="shared" si="0"/>
        <v>6</v>
      </c>
      <c r="G79" s="49" t="s">
        <v>168</v>
      </c>
    </row>
    <row r="80" spans="1:7" x14ac:dyDescent="0.25">
      <c r="A80" s="23" t="s">
        <v>175</v>
      </c>
      <c r="B80" s="42" t="s">
        <v>129</v>
      </c>
      <c r="C80" s="43" t="s">
        <v>8</v>
      </c>
      <c r="D80" s="44">
        <v>2</v>
      </c>
      <c r="E80" s="53">
        <v>36.200000000000003</v>
      </c>
      <c r="F80" s="53">
        <f t="shared" si="0"/>
        <v>72.400000000000006</v>
      </c>
      <c r="G80" s="49"/>
    </row>
    <row r="81" spans="1:7" x14ac:dyDescent="0.25">
      <c r="A81" s="23" t="s">
        <v>176</v>
      </c>
      <c r="B81" s="42" t="s">
        <v>130</v>
      </c>
      <c r="C81" s="43" t="s">
        <v>3</v>
      </c>
      <c r="D81" s="44">
        <v>0.02</v>
      </c>
      <c r="E81" s="53">
        <v>0.25</v>
      </c>
      <c r="F81" s="53">
        <f t="shared" si="0"/>
        <v>5.0000000000000001E-3</v>
      </c>
      <c r="G81" s="49" t="s">
        <v>169</v>
      </c>
    </row>
    <row r="82" spans="1:7" x14ac:dyDescent="0.25">
      <c r="A82" s="23" t="s">
        <v>177</v>
      </c>
      <c r="B82" s="42" t="s">
        <v>131</v>
      </c>
      <c r="C82" s="43" t="s">
        <v>8</v>
      </c>
      <c r="D82" s="44">
        <v>5</v>
      </c>
      <c r="E82" s="53">
        <v>2.25</v>
      </c>
      <c r="F82" s="53">
        <f t="shared" si="0"/>
        <v>11.25</v>
      </c>
      <c r="G82" s="49"/>
    </row>
    <row r="83" spans="1:7" ht="27.6" x14ac:dyDescent="0.25">
      <c r="A83" s="23" t="s">
        <v>178</v>
      </c>
      <c r="B83" s="40" t="s">
        <v>170</v>
      </c>
      <c r="C83" s="26" t="s">
        <v>137</v>
      </c>
      <c r="D83" s="80">
        <v>10</v>
      </c>
      <c r="E83" s="53">
        <v>0.31</v>
      </c>
      <c r="F83" s="53">
        <f t="shared" si="0"/>
        <v>3.1</v>
      </c>
      <c r="G83" s="49" t="s">
        <v>171</v>
      </c>
    </row>
    <row r="84" spans="1:7" x14ac:dyDescent="0.25">
      <c r="A84" s="23" t="s">
        <v>179</v>
      </c>
      <c r="B84" s="42" t="s">
        <v>10</v>
      </c>
      <c r="C84" s="43" t="s">
        <v>11</v>
      </c>
      <c r="D84" s="44">
        <v>6</v>
      </c>
      <c r="E84" s="53">
        <v>17</v>
      </c>
      <c r="F84" s="53">
        <f t="shared" si="0"/>
        <v>102</v>
      </c>
      <c r="G84" s="49"/>
    </row>
    <row r="85" spans="1:7" ht="15" customHeight="1" x14ac:dyDescent="0.25">
      <c r="A85" s="274" t="s">
        <v>211</v>
      </c>
      <c r="B85" s="274"/>
      <c r="C85" s="274"/>
      <c r="D85" s="274"/>
      <c r="E85" s="274"/>
      <c r="F85" s="70">
        <f>SUM(F72:F84)</f>
        <v>777.75300000000004</v>
      </c>
      <c r="G85" s="198">
        <f>F85*9258</f>
        <v>7200437.2740000002</v>
      </c>
    </row>
    <row r="86" spans="1:7" ht="13.95" customHeight="1" x14ac:dyDescent="0.25">
      <c r="A86" s="81"/>
      <c r="B86" s="81"/>
      <c r="C86" s="81"/>
      <c r="D86" s="81"/>
      <c r="E86" s="81"/>
      <c r="F86" s="82"/>
    </row>
    <row r="87" spans="1:7" ht="13.95" customHeight="1" x14ac:dyDescent="0.25">
      <c r="A87" s="94" t="s">
        <v>201</v>
      </c>
      <c r="B87" s="275" t="s">
        <v>217</v>
      </c>
      <c r="C87" s="275"/>
      <c r="D87" s="275"/>
      <c r="E87" s="275"/>
      <c r="F87" s="275"/>
    </row>
    <row r="88" spans="1:7" ht="13.95" customHeight="1" x14ac:dyDescent="0.25">
      <c r="A88" s="90"/>
      <c r="B88" s="91"/>
      <c r="C88" s="91"/>
      <c r="D88" s="91"/>
      <c r="E88" s="91"/>
      <c r="F88" s="91"/>
    </row>
    <row r="89" spans="1:7" ht="13.95" customHeight="1" x14ac:dyDescent="0.25">
      <c r="A89" s="90" t="s">
        <v>203</v>
      </c>
      <c r="B89" s="91" t="s">
        <v>216</v>
      </c>
      <c r="C89" s="91"/>
      <c r="D89" s="91"/>
      <c r="E89" s="91"/>
      <c r="F89" s="91"/>
    </row>
    <row r="90" spans="1:7" ht="13.95" customHeight="1" x14ac:dyDescent="0.25">
      <c r="A90" s="14" t="s">
        <v>119</v>
      </c>
      <c r="B90" s="14" t="s">
        <v>64</v>
      </c>
      <c r="C90" s="13" t="s">
        <v>138</v>
      </c>
      <c r="D90" s="13" t="s">
        <v>139</v>
      </c>
      <c r="E90" s="13" t="s">
        <v>140</v>
      </c>
      <c r="F90" s="22" t="s">
        <v>141</v>
      </c>
    </row>
    <row r="91" spans="1:7" ht="13.95" customHeight="1" x14ac:dyDescent="0.25">
      <c r="A91" s="20" t="s">
        <v>154</v>
      </c>
      <c r="B91" s="21" t="s">
        <v>300</v>
      </c>
      <c r="C91" s="15" t="s">
        <v>1</v>
      </c>
      <c r="D91" s="16">
        <v>1</v>
      </c>
      <c r="E91" s="17">
        <v>42</v>
      </c>
      <c r="F91" s="17">
        <f>D91*E91</f>
        <v>42</v>
      </c>
      <c r="G91" s="18" t="s">
        <v>218</v>
      </c>
    </row>
    <row r="92" spans="1:7" ht="13.95" customHeight="1" x14ac:dyDescent="0.25">
      <c r="A92" s="285" t="s">
        <v>213</v>
      </c>
      <c r="B92" s="286"/>
      <c r="C92" s="286"/>
      <c r="D92" s="286"/>
      <c r="E92" s="287"/>
      <c r="F92" s="103">
        <f>F91</f>
        <v>42</v>
      </c>
      <c r="G92" s="198">
        <f>F92*9258</f>
        <v>388836</v>
      </c>
    </row>
    <row r="93" spans="1:7" ht="13.95" customHeight="1" x14ac:dyDescent="0.25">
      <c r="A93" s="81"/>
      <c r="B93" s="81"/>
      <c r="C93" s="81"/>
      <c r="D93" s="81"/>
      <c r="E93" s="81"/>
      <c r="F93" s="82"/>
    </row>
    <row r="94" spans="1:7" ht="13.95" customHeight="1" x14ac:dyDescent="0.25">
      <c r="A94" s="81" t="s">
        <v>214</v>
      </c>
      <c r="B94" s="288" t="s">
        <v>202</v>
      </c>
      <c r="C94" s="288"/>
      <c r="D94" s="288"/>
      <c r="E94" s="288"/>
      <c r="F94" s="288"/>
    </row>
    <row r="95" spans="1:7" ht="13.95" customHeight="1" x14ac:dyDescent="0.25">
      <c r="A95" s="81"/>
      <c r="B95" s="81"/>
      <c r="C95" s="81"/>
      <c r="D95" s="81"/>
      <c r="E95" s="81"/>
      <c r="F95" s="81"/>
    </row>
    <row r="96" spans="1:7" ht="13.95" customHeight="1" x14ac:dyDescent="0.25">
      <c r="A96" s="34" t="s">
        <v>215</v>
      </c>
      <c r="B96" s="34" t="s">
        <v>204</v>
      </c>
      <c r="C96" s="35"/>
      <c r="D96" s="36"/>
      <c r="E96" s="37"/>
      <c r="F96" s="38"/>
      <c r="G96" s="39"/>
    </row>
    <row r="97" spans="1:7" ht="13.95" customHeight="1" x14ac:dyDescent="0.25">
      <c r="A97" s="23" t="s">
        <v>119</v>
      </c>
      <c r="B97" s="23" t="s">
        <v>64</v>
      </c>
      <c r="C97" s="54" t="s">
        <v>138</v>
      </c>
      <c r="D97" s="54" t="s">
        <v>139</v>
      </c>
      <c r="E97" s="54" t="s">
        <v>140</v>
      </c>
      <c r="F97" s="53" t="s">
        <v>141</v>
      </c>
      <c r="G97" s="19"/>
    </row>
    <row r="98" spans="1:7" ht="13.95" customHeight="1" x14ac:dyDescent="0.25">
      <c r="A98" s="20" t="s">
        <v>154</v>
      </c>
      <c r="B98" s="21" t="s">
        <v>151</v>
      </c>
      <c r="C98" s="64" t="s">
        <v>142</v>
      </c>
      <c r="D98" s="65">
        <v>250</v>
      </c>
      <c r="E98" s="63">
        <v>0.28999999999999998</v>
      </c>
      <c r="F98" s="76">
        <f>D98*E98</f>
        <v>72.5</v>
      </c>
      <c r="G98" s="18" t="s">
        <v>145</v>
      </c>
    </row>
    <row r="99" spans="1:7" ht="13.95" customHeight="1" x14ac:dyDescent="0.25">
      <c r="A99" s="20" t="s">
        <v>155</v>
      </c>
      <c r="B99" s="21" t="s">
        <v>152</v>
      </c>
      <c r="C99" s="64" t="s">
        <v>153</v>
      </c>
      <c r="D99" s="65">
        <v>10</v>
      </c>
      <c r="E99" s="63"/>
      <c r="F99" s="76">
        <v>10</v>
      </c>
    </row>
    <row r="100" spans="1:7" ht="13.95" customHeight="1" x14ac:dyDescent="0.25">
      <c r="A100" s="276" t="s">
        <v>150</v>
      </c>
      <c r="B100" s="276"/>
      <c r="C100" s="276"/>
      <c r="D100" s="276"/>
      <c r="E100" s="276"/>
      <c r="F100" s="102">
        <f>F98*F99</f>
        <v>725</v>
      </c>
      <c r="G100" s="198">
        <f>F100*2*9258</f>
        <v>13424100</v>
      </c>
    </row>
    <row r="101" spans="1:7" ht="13.95" customHeight="1" x14ac:dyDescent="0.25">
      <c r="A101" s="81"/>
      <c r="B101" s="81"/>
      <c r="C101" s="81"/>
      <c r="D101" s="81"/>
      <c r="E101" s="81"/>
      <c r="F101" s="82"/>
    </row>
    <row r="102" spans="1:7" ht="43.95" customHeight="1" x14ac:dyDescent="0.25">
      <c r="A102" s="277" t="s">
        <v>206</v>
      </c>
      <c r="B102" s="277"/>
      <c r="C102" s="277"/>
      <c r="D102" s="277"/>
      <c r="E102" s="277"/>
      <c r="F102" s="110">
        <f>D15+F58+F66+F85+F92+F100</f>
        <v>2318.4329149738669</v>
      </c>
      <c r="G102" s="208">
        <f>G58+G85+G92+G100+((D12+D13)/365*20)</f>
        <v>21464050.636849314</v>
      </c>
    </row>
    <row r="103" spans="1:7" ht="13.95" customHeight="1" x14ac:dyDescent="0.25">
      <c r="A103" s="81"/>
      <c r="B103" s="81"/>
      <c r="C103" s="81"/>
      <c r="D103" s="81"/>
      <c r="E103" s="81"/>
      <c r="F103" s="82"/>
      <c r="G103" s="87"/>
    </row>
    <row r="104" spans="1:7" ht="15.6" x14ac:dyDescent="0.25">
      <c r="A104" s="273" t="s">
        <v>205</v>
      </c>
      <c r="B104" s="273"/>
      <c r="C104" s="273"/>
      <c r="D104" s="273"/>
      <c r="E104" s="273"/>
      <c r="F104" s="273"/>
      <c r="G104" s="87"/>
    </row>
    <row r="105" spans="1:7" ht="27.6" x14ac:dyDescent="0.25">
      <c r="A105" s="280" t="s">
        <v>64</v>
      </c>
      <c r="B105" s="280"/>
      <c r="C105" s="54" t="s">
        <v>138</v>
      </c>
      <c r="D105" s="54" t="s">
        <v>139</v>
      </c>
      <c r="E105" s="54" t="s">
        <v>141</v>
      </c>
      <c r="F105" s="92"/>
      <c r="G105" s="199"/>
    </row>
    <row r="106" spans="1:7" ht="45" customHeight="1" x14ac:dyDescent="0.25">
      <c r="A106" s="281" t="s">
        <v>162</v>
      </c>
      <c r="B106" s="281"/>
      <c r="C106" s="53" t="s">
        <v>161</v>
      </c>
      <c r="D106" s="84">
        <v>5</v>
      </c>
      <c r="E106" s="69">
        <f>F102*D106/100</f>
        <v>115.92164574869334</v>
      </c>
      <c r="F106" s="85"/>
      <c r="G106" s="87"/>
    </row>
    <row r="107" spans="1:7" ht="43.2" customHeight="1" x14ac:dyDescent="0.25">
      <c r="A107" s="281" t="s">
        <v>160</v>
      </c>
      <c r="B107" s="281"/>
      <c r="C107" s="53" t="s">
        <v>161</v>
      </c>
      <c r="D107" s="84">
        <v>5</v>
      </c>
      <c r="E107" s="69">
        <f>F102*D107/100</f>
        <v>115.92164574869334</v>
      </c>
      <c r="G107" s="87"/>
    </row>
    <row r="108" spans="1:7" ht="31.5" customHeight="1" x14ac:dyDescent="0.25">
      <c r="A108" s="282" t="s">
        <v>261</v>
      </c>
      <c r="B108" s="282"/>
      <c r="C108" s="282"/>
      <c r="D108" s="282"/>
      <c r="E108" s="86">
        <f>E106+E107</f>
        <v>231.84329149738667</v>
      </c>
      <c r="G108" s="198">
        <f>G102*10/100</f>
        <v>2146405.0636849315</v>
      </c>
    </row>
    <row r="110" spans="1:7" ht="37.950000000000003" customHeight="1" x14ac:dyDescent="0.25">
      <c r="A110" s="283" t="s">
        <v>209</v>
      </c>
      <c r="B110" s="283"/>
      <c r="C110" s="283"/>
      <c r="D110" s="283"/>
      <c r="E110" s="116">
        <f>F102+E108</f>
        <v>2550.2762064712538</v>
      </c>
      <c r="F110" s="116"/>
      <c r="G110" s="208">
        <f>G102+G108</f>
        <v>23610455.700534247</v>
      </c>
    </row>
    <row r="113" spans="1:7" ht="54" customHeight="1" x14ac:dyDescent="0.25">
      <c r="A113" s="284" t="s">
        <v>240</v>
      </c>
      <c r="B113" s="284"/>
      <c r="C113" s="284"/>
      <c r="D113" s="284"/>
      <c r="E113" s="144">
        <f>SUM(E115:E116)</f>
        <v>23770503.195284247</v>
      </c>
      <c r="F113" s="133"/>
      <c r="G113" s="198"/>
    </row>
    <row r="114" spans="1:7" ht="21" customHeight="1" x14ac:dyDescent="0.25">
      <c r="A114" s="168"/>
      <c r="B114" s="168" t="s">
        <v>305</v>
      </c>
      <c r="C114" s="168"/>
      <c r="D114" s="168"/>
      <c r="E114" s="116"/>
      <c r="F114" s="171"/>
    </row>
    <row r="115" spans="1:7" ht="21" customHeight="1" x14ac:dyDescent="0.25">
      <c r="A115" s="168"/>
      <c r="B115" s="168" t="s">
        <v>306</v>
      </c>
      <c r="C115" s="168"/>
      <c r="D115" s="168"/>
      <c r="E115" s="116">
        <f>G49</f>
        <v>160047.49475000001</v>
      </c>
      <c r="F115" s="171"/>
    </row>
    <row r="116" spans="1:7" ht="22.8" customHeight="1" x14ac:dyDescent="0.25">
      <c r="A116" s="168"/>
      <c r="B116" s="168" t="s">
        <v>305</v>
      </c>
      <c r="C116" s="168"/>
      <c r="D116" s="168"/>
      <c r="E116" s="116">
        <f>G110</f>
        <v>23610455.700534247</v>
      </c>
      <c r="F116" s="171"/>
    </row>
  </sheetData>
  <mergeCells count="34">
    <mergeCell ref="A113:D113"/>
    <mergeCell ref="A66:E66"/>
    <mergeCell ref="A58:E58"/>
    <mergeCell ref="A110:D110"/>
    <mergeCell ref="A92:E92"/>
    <mergeCell ref="B94:F94"/>
    <mergeCell ref="B60:F60"/>
    <mergeCell ref="A108:D108"/>
    <mergeCell ref="A106:B106"/>
    <mergeCell ref="A107:B107"/>
    <mergeCell ref="A105:B105"/>
    <mergeCell ref="A34:E34"/>
    <mergeCell ref="A104:F104"/>
    <mergeCell ref="B53:F53"/>
    <mergeCell ref="A85:E85"/>
    <mergeCell ref="B87:F87"/>
    <mergeCell ref="A100:E100"/>
    <mergeCell ref="A102:E102"/>
    <mergeCell ref="B51:F51"/>
    <mergeCell ref="A40:B40"/>
    <mergeCell ref="A43:F43"/>
    <mergeCell ref="A44:B44"/>
    <mergeCell ref="A45:B45"/>
    <mergeCell ref="A46:B46"/>
    <mergeCell ref="A47:D47"/>
    <mergeCell ref="A49:D49"/>
    <mergeCell ref="B29:F29"/>
    <mergeCell ref="A1:F1"/>
    <mergeCell ref="A15:B15"/>
    <mergeCell ref="A27:B27"/>
    <mergeCell ref="A5:F5"/>
    <mergeCell ref="A17:F17"/>
    <mergeCell ref="A7:C7"/>
    <mergeCell ref="B21:F21"/>
  </mergeCells>
  <phoneticPr fontId="12" type="noConversion"/>
  <pageMargins left="0.70866141732283472" right="0.70866141732283472" top="0.15748031496062992" bottom="0.15748031496062992" header="0.31496062992125984" footer="0.31496062992125984"/>
  <pageSetup paperSize="9" scale="47" orientation="portrait" r:id="rId1"/>
  <rowBreaks count="1" manualBreakCount="1">
    <brk id="5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view="pageBreakPreview" zoomScale="60" zoomScaleNormal="75" workbookViewId="0">
      <selection activeCell="G38" sqref="G38"/>
    </sheetView>
  </sheetViews>
  <sheetFormatPr defaultRowHeight="13.8" x14ac:dyDescent="0.25"/>
  <cols>
    <col min="1" max="1" width="6" style="19" customWidth="1"/>
    <col min="2" max="2" width="61.5546875" style="19" customWidth="1"/>
    <col min="3" max="3" width="11.6640625" style="18" customWidth="1"/>
    <col min="4" max="4" width="11.6640625" style="87" customWidth="1"/>
    <col min="5" max="5" width="11.6640625" style="18" customWidth="1"/>
    <col min="6" max="6" width="14.6640625" style="18" customWidth="1"/>
    <col min="7" max="7" width="57.109375" style="18" customWidth="1"/>
    <col min="8" max="16384" width="8.88671875" style="19"/>
  </cols>
  <sheetData>
    <row r="1" spans="1:7" ht="63.6" customHeight="1" x14ac:dyDescent="0.25">
      <c r="A1" s="265" t="s">
        <v>227</v>
      </c>
      <c r="B1" s="265"/>
      <c r="C1" s="265"/>
      <c r="D1" s="265"/>
      <c r="E1" s="265"/>
      <c r="F1" s="265"/>
    </row>
    <row r="3" spans="1:7" s="46" customFormat="1" x14ac:dyDescent="0.3">
      <c r="C3" s="47"/>
      <c r="D3" s="48"/>
      <c r="E3" s="47"/>
      <c r="F3" s="47"/>
      <c r="G3" s="47"/>
    </row>
    <row r="4" spans="1:7" s="46" customFormat="1" x14ac:dyDescent="0.3">
      <c r="C4" s="47"/>
      <c r="D4" s="48"/>
      <c r="E4" s="47"/>
      <c r="F4" s="47"/>
      <c r="G4" s="47"/>
    </row>
    <row r="5" spans="1:7" s="50" customFormat="1" ht="61.2" customHeight="1" x14ac:dyDescent="0.3">
      <c r="A5" s="269" t="s">
        <v>228</v>
      </c>
      <c r="B5" s="269"/>
      <c r="C5" s="269"/>
      <c r="D5" s="269"/>
      <c r="E5" s="269"/>
      <c r="F5" s="269"/>
      <c r="G5" s="49"/>
    </row>
    <row r="6" spans="1:7" s="50" customFormat="1" ht="17.399999999999999" x14ac:dyDescent="0.3">
      <c r="A6" s="104"/>
      <c r="B6" s="104"/>
      <c r="C6" s="104"/>
      <c r="D6" s="104"/>
      <c r="E6" s="104"/>
      <c r="F6" s="104"/>
      <c r="G6" s="49"/>
    </row>
    <row r="7" spans="1:7" s="50" customFormat="1" ht="37.200000000000003" customHeight="1" x14ac:dyDescent="0.3">
      <c r="A7" s="270" t="s">
        <v>241</v>
      </c>
      <c r="B7" s="270"/>
      <c r="C7" s="270"/>
      <c r="D7" s="117">
        <f>'1.Расчет отлов'!C5</f>
        <v>9745</v>
      </c>
      <c r="E7" s="104"/>
      <c r="F7" s="104"/>
      <c r="G7" s="49"/>
    </row>
    <row r="8" spans="1:7" s="50" customFormat="1" ht="37.200000000000003" customHeight="1" x14ac:dyDescent="0.3">
      <c r="A8" s="270" t="s">
        <v>276</v>
      </c>
      <c r="B8" s="270"/>
      <c r="C8" s="270"/>
      <c r="D8" s="117">
        <f>D7*0.95</f>
        <v>9257.75</v>
      </c>
      <c r="E8" s="104"/>
      <c r="F8" s="104"/>
      <c r="G8" s="49"/>
    </row>
    <row r="9" spans="1:7" s="50" customFormat="1" ht="17.399999999999999" x14ac:dyDescent="0.3">
      <c r="A9" s="45"/>
      <c r="B9" s="45"/>
      <c r="C9" s="45"/>
      <c r="D9" s="45"/>
      <c r="E9" s="45"/>
      <c r="F9" s="45"/>
      <c r="G9" s="49"/>
    </row>
    <row r="10" spans="1:7" s="50" customFormat="1" ht="27.6" x14ac:dyDescent="0.3">
      <c r="A10" s="51" t="s">
        <v>119</v>
      </c>
      <c r="B10" s="52" t="s">
        <v>120</v>
      </c>
      <c r="C10" s="53" t="s">
        <v>121</v>
      </c>
      <c r="D10" s="54" t="s">
        <v>17</v>
      </c>
      <c r="E10" s="49"/>
      <c r="F10" s="49"/>
      <c r="G10" s="49"/>
    </row>
    <row r="11" spans="1:7" s="50" customFormat="1" x14ac:dyDescent="0.3">
      <c r="A11" s="23" t="s">
        <v>154</v>
      </c>
      <c r="B11" s="55" t="s">
        <v>146</v>
      </c>
      <c r="C11" s="53" t="s">
        <v>122</v>
      </c>
      <c r="D11" s="54">
        <v>13949.5</v>
      </c>
      <c r="E11" s="49"/>
      <c r="F11" s="49"/>
      <c r="G11" s="49"/>
    </row>
    <row r="12" spans="1:7" s="50" customFormat="1" x14ac:dyDescent="0.3">
      <c r="A12" s="23" t="s">
        <v>155</v>
      </c>
      <c r="B12" s="40" t="s">
        <v>277</v>
      </c>
      <c r="C12" s="53" t="s">
        <v>123</v>
      </c>
      <c r="D12" s="54">
        <v>0.5</v>
      </c>
      <c r="E12" s="49"/>
      <c r="F12" s="49"/>
      <c r="G12" s="49"/>
    </row>
    <row r="13" spans="1:7" s="50" customFormat="1" ht="27.6" x14ac:dyDescent="0.3">
      <c r="A13" s="23" t="s">
        <v>156</v>
      </c>
      <c r="B13" s="55" t="s">
        <v>135</v>
      </c>
      <c r="C13" s="53" t="s">
        <v>122</v>
      </c>
      <c r="D13" s="54">
        <f>D11*D12*12</f>
        <v>83697</v>
      </c>
      <c r="E13" s="49"/>
      <c r="F13" s="49"/>
      <c r="G13" s="49"/>
    </row>
    <row r="14" spans="1:7" s="50" customFormat="1" x14ac:dyDescent="0.3">
      <c r="A14" s="23" t="s">
        <v>157</v>
      </c>
      <c r="B14" s="55" t="s">
        <v>136</v>
      </c>
      <c r="C14" s="53" t="s">
        <v>122</v>
      </c>
      <c r="D14" s="54">
        <f>D13*0.302</f>
        <v>25276.493999999999</v>
      </c>
      <c r="E14" s="49"/>
      <c r="F14" s="49"/>
      <c r="G14" s="49"/>
    </row>
    <row r="15" spans="1:7" s="50" customFormat="1" ht="41.4" x14ac:dyDescent="0.3">
      <c r="A15" s="107" t="s">
        <v>158</v>
      </c>
      <c r="B15" s="40" t="s">
        <v>231</v>
      </c>
      <c r="C15" s="53" t="s">
        <v>147</v>
      </c>
      <c r="D15" s="84">
        <f>D8*0.05</f>
        <v>462.88750000000005</v>
      </c>
      <c r="E15" s="49"/>
      <c r="F15" s="49"/>
      <c r="G15" s="49"/>
    </row>
    <row r="16" spans="1:7" s="50" customFormat="1" ht="16.2" customHeight="1" x14ac:dyDescent="0.3">
      <c r="A16" s="295" t="s">
        <v>229</v>
      </c>
      <c r="B16" s="295"/>
      <c r="C16" s="111" t="s">
        <v>122</v>
      </c>
      <c r="D16" s="112">
        <f>D13+D14</f>
        <v>108973.49400000001</v>
      </c>
      <c r="E16" s="49"/>
      <c r="F16" s="49"/>
      <c r="G16" s="49"/>
    </row>
    <row r="17" spans="1:7" s="50" customFormat="1" x14ac:dyDescent="0.3">
      <c r="A17" s="108"/>
      <c r="B17" s="108" t="s">
        <v>278</v>
      </c>
      <c r="C17" s="109" t="s">
        <v>122</v>
      </c>
      <c r="D17" s="110">
        <f>D16/D15</f>
        <v>235.42112068267127</v>
      </c>
      <c r="E17" s="49"/>
      <c r="F17" s="49"/>
      <c r="G17" s="49"/>
    </row>
    <row r="18" spans="1:7" s="50" customFormat="1" ht="14.4" customHeight="1" x14ac:dyDescent="0.3">
      <c r="A18" s="58"/>
      <c r="B18" s="58"/>
      <c r="C18" s="47"/>
      <c r="D18" s="48"/>
      <c r="E18" s="49"/>
      <c r="F18" s="49"/>
      <c r="G18" s="49"/>
    </row>
    <row r="19" spans="1:7" x14ac:dyDescent="0.25">
      <c r="A19" s="290" t="s">
        <v>232</v>
      </c>
      <c r="B19" s="291"/>
      <c r="C19" s="291"/>
      <c r="D19" s="291"/>
    </row>
    <row r="20" spans="1:7" s="50" customFormat="1" ht="44.4" customHeight="1" x14ac:dyDescent="0.3">
      <c r="A20" s="293" t="s">
        <v>233</v>
      </c>
      <c r="B20" s="294"/>
      <c r="C20" s="294"/>
      <c r="D20" s="294"/>
      <c r="E20" s="49"/>
      <c r="F20" s="49"/>
      <c r="G20" s="49"/>
    </row>
    <row r="21" spans="1:7" s="50" customFormat="1" ht="44.4" customHeight="1" x14ac:dyDescent="0.3">
      <c r="A21" s="293" t="s">
        <v>234</v>
      </c>
      <c r="B21" s="294"/>
      <c r="C21" s="294"/>
      <c r="D21" s="294"/>
      <c r="E21" s="49"/>
      <c r="F21" s="49"/>
      <c r="G21" s="49"/>
    </row>
    <row r="22" spans="1:7" s="50" customFormat="1" ht="26.4" customHeight="1" x14ac:dyDescent="0.3">
      <c r="A22" s="293" t="s">
        <v>235</v>
      </c>
      <c r="B22" s="294"/>
      <c r="C22" s="294"/>
      <c r="D22" s="294"/>
      <c r="E22" s="49"/>
      <c r="F22" s="49"/>
      <c r="G22" s="49"/>
    </row>
    <row r="23" spans="1:7" s="50" customFormat="1" ht="45" customHeight="1" x14ac:dyDescent="0.3">
      <c r="A23" s="293" t="s">
        <v>236</v>
      </c>
      <c r="B23" s="294"/>
      <c r="C23" s="294"/>
      <c r="D23" s="294"/>
      <c r="E23" s="49"/>
      <c r="F23" s="49"/>
      <c r="G23" s="49"/>
    </row>
    <row r="24" spans="1:7" s="50" customFormat="1" x14ac:dyDescent="0.3">
      <c r="A24" s="294"/>
      <c r="B24" s="294"/>
      <c r="C24" s="294"/>
      <c r="D24" s="294"/>
      <c r="E24" s="49"/>
      <c r="F24" s="49"/>
      <c r="G24" s="49"/>
    </row>
    <row r="25" spans="1:7" s="50" customFormat="1" x14ac:dyDescent="0.3">
      <c r="A25" s="294"/>
      <c r="B25" s="294"/>
      <c r="C25" s="294"/>
      <c r="D25" s="294"/>
      <c r="E25" s="49"/>
      <c r="F25" s="49"/>
      <c r="G25" s="49"/>
    </row>
    <row r="26" spans="1:7" s="50" customFormat="1" x14ac:dyDescent="0.3">
      <c r="A26" s="294"/>
      <c r="B26" s="294"/>
      <c r="C26" s="294"/>
      <c r="D26" s="294"/>
      <c r="E26" s="49"/>
      <c r="F26" s="49"/>
      <c r="G26" s="49"/>
    </row>
    <row r="27" spans="1:7" s="50" customFormat="1" x14ac:dyDescent="0.3">
      <c r="A27" s="294"/>
      <c r="B27" s="294"/>
      <c r="C27" s="294"/>
      <c r="D27" s="294"/>
      <c r="E27" s="49"/>
      <c r="F27" s="49"/>
      <c r="G27" s="49"/>
    </row>
    <row r="28" spans="1:7" x14ac:dyDescent="0.25">
      <c r="A28" s="292"/>
      <c r="B28" s="292"/>
      <c r="C28" s="292"/>
      <c r="D28" s="292"/>
    </row>
    <row r="29" spans="1:7" x14ac:dyDescent="0.25">
      <c r="A29" s="292"/>
      <c r="B29" s="292"/>
      <c r="C29" s="292"/>
      <c r="D29" s="292"/>
    </row>
    <row r="30" spans="1:7" x14ac:dyDescent="0.25">
      <c r="A30" s="292"/>
      <c r="B30" s="292"/>
      <c r="C30" s="292"/>
      <c r="D30" s="292"/>
    </row>
    <row r="31" spans="1:7" x14ac:dyDescent="0.25">
      <c r="A31" s="291"/>
      <c r="B31" s="291"/>
      <c r="C31" s="291"/>
      <c r="D31" s="291"/>
    </row>
    <row r="32" spans="1:7" x14ac:dyDescent="0.25">
      <c r="A32" s="291"/>
      <c r="B32" s="291"/>
      <c r="C32" s="291"/>
      <c r="D32" s="291"/>
    </row>
    <row r="33" spans="1:4" x14ac:dyDescent="0.25">
      <c r="A33" s="291"/>
      <c r="B33" s="291"/>
      <c r="C33" s="291"/>
      <c r="D33" s="291"/>
    </row>
  </sheetData>
  <mergeCells count="20">
    <mergeCell ref="A1:F1"/>
    <mergeCell ref="A5:F5"/>
    <mergeCell ref="A16:B16"/>
    <mergeCell ref="A7:C7"/>
    <mergeCell ref="A8:C8"/>
    <mergeCell ref="A19:D19"/>
    <mergeCell ref="A33:D33"/>
    <mergeCell ref="A29:D29"/>
    <mergeCell ref="A30:D30"/>
    <mergeCell ref="A32:D32"/>
    <mergeCell ref="A31:D31"/>
    <mergeCell ref="A23:D23"/>
    <mergeCell ref="A24:D24"/>
    <mergeCell ref="A25:D25"/>
    <mergeCell ref="A26:D26"/>
    <mergeCell ref="A28:D28"/>
    <mergeCell ref="A20:D20"/>
    <mergeCell ref="A21:D21"/>
    <mergeCell ref="A22:D22"/>
    <mergeCell ref="A27:D27"/>
  </mergeCells>
  <phoneticPr fontId="12" type="noConversion"/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0"/>
  <sheetViews>
    <sheetView zoomScale="60" zoomScaleNormal="60" workbookViewId="0">
      <selection activeCell="H138" sqref="H138"/>
    </sheetView>
  </sheetViews>
  <sheetFormatPr defaultRowHeight="14.4" x14ac:dyDescent="0.3"/>
  <cols>
    <col min="1" max="1" width="4.88671875" style="2" customWidth="1"/>
    <col min="2" max="2" width="68.21875" style="2" customWidth="1"/>
    <col min="3" max="3" width="19.44140625" style="2" customWidth="1"/>
    <col min="4" max="4" width="20.109375" style="2" customWidth="1"/>
    <col min="5" max="5" width="19.6640625" style="2" customWidth="1"/>
    <col min="6" max="7" width="8.88671875" style="2"/>
    <col min="8" max="8" width="53.33203125" style="2" customWidth="1"/>
    <col min="9" max="9" width="17.5546875" style="2" customWidth="1"/>
    <col min="10" max="11" width="17.77734375" style="2" customWidth="1"/>
    <col min="12" max="12" width="13.109375" style="2" customWidth="1"/>
    <col min="13" max="16384" width="8.88671875" style="2"/>
  </cols>
  <sheetData>
    <row r="1" spans="1:6" ht="73.5" customHeight="1" x14ac:dyDescent="0.3">
      <c r="A1" s="1"/>
      <c r="B1" s="299" t="s">
        <v>279</v>
      </c>
      <c r="C1" s="299"/>
      <c r="D1" s="299"/>
      <c r="E1" s="299"/>
      <c r="F1" s="1"/>
    </row>
    <row r="2" spans="1:6" ht="15.6" x14ac:dyDescent="0.3">
      <c r="A2" s="1"/>
      <c r="B2" s="1"/>
      <c r="C2" s="1"/>
      <c r="D2" s="1"/>
      <c r="E2" s="1"/>
      <c r="F2" s="1"/>
    </row>
    <row r="3" spans="1:6" ht="31.2" customHeight="1" x14ac:dyDescent="0.3">
      <c r="A3" s="1"/>
      <c r="B3" s="299" t="s">
        <v>16</v>
      </c>
      <c r="C3" s="299"/>
      <c r="D3" s="1"/>
      <c r="E3" s="1"/>
      <c r="F3" s="1"/>
    </row>
    <row r="4" spans="1:6" ht="15.6" x14ac:dyDescent="0.3">
      <c r="A4" s="1"/>
      <c r="B4" s="1"/>
      <c r="C4" s="1"/>
      <c r="D4" s="1"/>
      <c r="E4" s="1"/>
      <c r="F4" s="1"/>
    </row>
    <row r="5" spans="1:6" ht="99.6" customHeight="1" x14ac:dyDescent="0.3">
      <c r="A5" s="1"/>
      <c r="B5" s="52" t="s">
        <v>12</v>
      </c>
      <c r="C5" s="52" t="s">
        <v>17</v>
      </c>
      <c r="D5" s="53" t="s">
        <v>302</v>
      </c>
      <c r="E5" s="1"/>
      <c r="F5" s="1"/>
    </row>
    <row r="6" spans="1:6" ht="52.95" customHeight="1" x14ac:dyDescent="0.3">
      <c r="A6" s="1"/>
      <c r="B6" s="149" t="s">
        <v>18</v>
      </c>
      <c r="C6" s="52">
        <f>SUM(C7:C36)</f>
        <v>9745</v>
      </c>
      <c r="D6" s="153">
        <f>C6-487-463-463</f>
        <v>8332</v>
      </c>
      <c r="E6" s="1"/>
      <c r="F6" s="1"/>
    </row>
    <row r="7" spans="1:6" ht="16.95" customHeight="1" x14ac:dyDescent="0.3">
      <c r="A7" s="1"/>
      <c r="B7" s="151" t="s">
        <v>19</v>
      </c>
      <c r="C7" s="152">
        <v>2710</v>
      </c>
      <c r="D7" s="1"/>
      <c r="E7" s="1"/>
      <c r="F7" s="1"/>
    </row>
    <row r="8" spans="1:6" ht="16.95" customHeight="1" x14ac:dyDescent="0.3">
      <c r="A8" s="1"/>
      <c r="B8" s="151" t="s">
        <v>20</v>
      </c>
      <c r="C8" s="152">
        <v>600</v>
      </c>
      <c r="D8" s="1"/>
      <c r="E8" s="1"/>
      <c r="F8" s="1"/>
    </row>
    <row r="9" spans="1:6" ht="16.95" customHeight="1" x14ac:dyDescent="0.3">
      <c r="A9" s="1"/>
      <c r="B9" s="151" t="s">
        <v>21</v>
      </c>
      <c r="C9" s="152">
        <v>540</v>
      </c>
      <c r="D9" s="1"/>
      <c r="E9" s="1"/>
      <c r="F9" s="1"/>
    </row>
    <row r="10" spans="1:6" ht="16.95" customHeight="1" x14ac:dyDescent="0.3">
      <c r="A10" s="1"/>
      <c r="B10" s="151" t="s">
        <v>22</v>
      </c>
      <c r="C10" s="152">
        <v>300</v>
      </c>
      <c r="D10" s="1"/>
      <c r="E10" s="1"/>
      <c r="F10" s="1"/>
    </row>
    <row r="11" spans="1:6" ht="16.95" customHeight="1" x14ac:dyDescent="0.3">
      <c r="A11" s="1"/>
      <c r="B11" s="151" t="s">
        <v>23</v>
      </c>
      <c r="C11" s="152">
        <v>650</v>
      </c>
      <c r="D11" s="1"/>
      <c r="E11" s="1"/>
      <c r="F11" s="1"/>
    </row>
    <row r="12" spans="1:6" ht="16.95" customHeight="1" x14ac:dyDescent="0.3">
      <c r="A12" s="1"/>
      <c r="B12" s="151" t="s">
        <v>24</v>
      </c>
      <c r="C12" s="152">
        <v>150</v>
      </c>
      <c r="D12" s="1"/>
      <c r="E12" s="1"/>
      <c r="F12" s="1"/>
    </row>
    <row r="13" spans="1:6" ht="16.95" customHeight="1" x14ac:dyDescent="0.3">
      <c r="A13" s="1"/>
      <c r="B13" s="151" t="s">
        <v>25</v>
      </c>
      <c r="C13" s="152">
        <v>227</v>
      </c>
      <c r="D13" s="1"/>
      <c r="E13" s="1"/>
      <c r="F13" s="1"/>
    </row>
    <row r="14" spans="1:6" ht="16.95" customHeight="1" x14ac:dyDescent="0.3">
      <c r="A14" s="1"/>
      <c r="B14" s="151" t="s">
        <v>26</v>
      </c>
      <c r="C14" s="152">
        <v>150</v>
      </c>
      <c r="D14" s="1"/>
      <c r="E14" s="1"/>
      <c r="F14" s="1"/>
    </row>
    <row r="15" spans="1:6" ht="16.95" customHeight="1" x14ac:dyDescent="0.3">
      <c r="A15" s="1"/>
      <c r="B15" s="151" t="s">
        <v>27</v>
      </c>
      <c r="C15" s="152">
        <v>144</v>
      </c>
      <c r="D15" s="1"/>
      <c r="E15" s="1"/>
      <c r="F15" s="1"/>
    </row>
    <row r="16" spans="1:6" ht="16.95" customHeight="1" x14ac:dyDescent="0.3">
      <c r="A16" s="1"/>
      <c r="B16" s="151" t="s">
        <v>28</v>
      </c>
      <c r="C16" s="152">
        <v>104</v>
      </c>
      <c r="D16" s="1"/>
      <c r="E16" s="1"/>
      <c r="F16" s="1"/>
    </row>
    <row r="17" spans="1:6" ht="16.95" customHeight="1" x14ac:dyDescent="0.3">
      <c r="A17" s="1"/>
      <c r="B17" s="151" t="s">
        <v>29</v>
      </c>
      <c r="C17" s="152">
        <v>75</v>
      </c>
      <c r="D17" s="1"/>
      <c r="E17" s="1"/>
      <c r="F17" s="1"/>
    </row>
    <row r="18" spans="1:6" ht="16.95" customHeight="1" x14ac:dyDescent="0.3">
      <c r="A18" s="1"/>
      <c r="B18" s="151" t="s">
        <v>30</v>
      </c>
      <c r="C18" s="152">
        <v>100</v>
      </c>
      <c r="D18" s="1"/>
      <c r="E18" s="1"/>
      <c r="F18" s="1"/>
    </row>
    <row r="19" spans="1:6" ht="15.6" x14ac:dyDescent="0.3">
      <c r="A19" s="1"/>
      <c r="B19" s="151" t="s">
        <v>31</v>
      </c>
      <c r="C19" s="152">
        <v>350</v>
      </c>
      <c r="D19" s="1"/>
      <c r="E19" s="1"/>
      <c r="F19" s="1"/>
    </row>
    <row r="20" spans="1:6" ht="16.95" customHeight="1" x14ac:dyDescent="0.3">
      <c r="A20" s="1"/>
      <c r="B20" s="151" t="s">
        <v>32</v>
      </c>
      <c r="C20" s="152">
        <v>162</v>
      </c>
      <c r="D20" s="1"/>
      <c r="E20" s="1"/>
      <c r="F20" s="1"/>
    </row>
    <row r="21" spans="1:6" ht="16.95" customHeight="1" x14ac:dyDescent="0.3">
      <c r="A21" s="1"/>
      <c r="B21" s="151" t="s">
        <v>33</v>
      </c>
      <c r="C21" s="152">
        <v>200</v>
      </c>
      <c r="D21" s="1"/>
      <c r="E21" s="1"/>
      <c r="F21" s="1"/>
    </row>
    <row r="22" spans="1:6" ht="15.6" x14ac:dyDescent="0.3">
      <c r="A22" s="1"/>
      <c r="B22" s="151" t="s">
        <v>34</v>
      </c>
      <c r="C22" s="152">
        <v>175</v>
      </c>
      <c r="D22" s="1"/>
      <c r="E22" s="1"/>
      <c r="F22" s="1"/>
    </row>
    <row r="23" spans="1:6" ht="16.95" customHeight="1" x14ac:dyDescent="0.3">
      <c r="A23" s="1"/>
      <c r="B23" s="151" t="s">
        <v>35</v>
      </c>
      <c r="C23" s="152">
        <v>250</v>
      </c>
      <c r="D23" s="1"/>
      <c r="E23" s="1"/>
      <c r="F23" s="1"/>
    </row>
    <row r="24" spans="1:6" ht="16.95" customHeight="1" x14ac:dyDescent="0.3">
      <c r="A24" s="1"/>
      <c r="B24" s="151" t="s">
        <v>36</v>
      </c>
      <c r="C24" s="152">
        <v>375</v>
      </c>
      <c r="D24" s="1"/>
      <c r="E24" s="1"/>
      <c r="F24" s="1"/>
    </row>
    <row r="25" spans="1:6" ht="16.95" customHeight="1" x14ac:dyDescent="0.3">
      <c r="A25" s="1"/>
      <c r="B25" s="151" t="s">
        <v>37</v>
      </c>
      <c r="C25" s="152">
        <v>43</v>
      </c>
      <c r="D25" s="1"/>
      <c r="E25" s="1"/>
      <c r="F25" s="1"/>
    </row>
    <row r="26" spans="1:6" ht="15.6" x14ac:dyDescent="0.3">
      <c r="A26" s="1"/>
      <c r="B26" s="151" t="s">
        <v>38</v>
      </c>
      <c r="C26" s="152">
        <v>200</v>
      </c>
      <c r="D26" s="1"/>
      <c r="E26" s="1"/>
      <c r="F26" s="1"/>
    </row>
    <row r="27" spans="1:6" ht="18" customHeight="1" x14ac:dyDescent="0.3">
      <c r="A27" s="1"/>
      <c r="B27" s="151" t="s">
        <v>39</v>
      </c>
      <c r="C27" s="152">
        <v>500</v>
      </c>
      <c r="D27" s="1"/>
      <c r="E27" s="1"/>
      <c r="F27" s="1"/>
    </row>
    <row r="28" spans="1:6" ht="16.95" customHeight="1" x14ac:dyDescent="0.3">
      <c r="A28" s="1"/>
      <c r="B28" s="151" t="s">
        <v>40</v>
      </c>
      <c r="C28" s="152">
        <v>100</v>
      </c>
      <c r="D28" s="1"/>
      <c r="E28" s="1"/>
      <c r="F28" s="1"/>
    </row>
    <row r="29" spans="1:6" ht="15.6" x14ac:dyDescent="0.3">
      <c r="A29" s="1"/>
      <c r="B29" s="151" t="s">
        <v>41</v>
      </c>
      <c r="C29" s="152">
        <v>106</v>
      </c>
      <c r="D29" s="1"/>
      <c r="E29" s="1"/>
      <c r="F29" s="1"/>
    </row>
    <row r="30" spans="1:6" ht="16.95" customHeight="1" x14ac:dyDescent="0.3">
      <c r="A30" s="1"/>
      <c r="B30" s="151" t="s">
        <v>42</v>
      </c>
      <c r="C30" s="152">
        <v>80</v>
      </c>
      <c r="D30" s="1"/>
      <c r="E30" s="1"/>
      <c r="F30" s="1"/>
    </row>
    <row r="31" spans="1:6" ht="16.95" customHeight="1" x14ac:dyDescent="0.3">
      <c r="A31" s="1"/>
      <c r="B31" s="151" t="s">
        <v>43</v>
      </c>
      <c r="C31" s="152">
        <v>110</v>
      </c>
      <c r="D31" s="1"/>
      <c r="E31" s="1"/>
      <c r="F31" s="1"/>
    </row>
    <row r="32" spans="1:6" ht="16.95" customHeight="1" x14ac:dyDescent="0.3">
      <c r="A32" s="1"/>
      <c r="B32" s="151" t="s">
        <v>44</v>
      </c>
      <c r="C32" s="152">
        <v>600</v>
      </c>
      <c r="D32" s="1"/>
      <c r="E32" s="1"/>
      <c r="F32" s="1"/>
    </row>
    <row r="33" spans="1:11" ht="16.95" customHeight="1" x14ac:dyDescent="0.3">
      <c r="A33" s="1"/>
      <c r="B33" s="151" t="s">
        <v>45</v>
      </c>
      <c r="C33" s="152">
        <v>287</v>
      </c>
      <c r="D33" s="1"/>
      <c r="E33" s="1"/>
      <c r="F33" s="1"/>
    </row>
    <row r="34" spans="1:11" ht="16.95" customHeight="1" x14ac:dyDescent="0.3">
      <c r="A34" s="1"/>
      <c r="B34" s="151" t="s">
        <v>46</v>
      </c>
      <c r="C34" s="152">
        <v>120</v>
      </c>
      <c r="D34" s="1"/>
      <c r="E34" s="1"/>
      <c r="F34" s="1"/>
    </row>
    <row r="35" spans="1:11" ht="15.6" x14ac:dyDescent="0.3">
      <c r="A35" s="1"/>
      <c r="B35" s="151" t="s">
        <v>47</v>
      </c>
      <c r="C35" s="152">
        <v>125</v>
      </c>
      <c r="D35" s="1"/>
      <c r="E35" s="1"/>
      <c r="F35" s="1"/>
    </row>
    <row r="36" spans="1:11" ht="16.95" customHeight="1" x14ac:dyDescent="0.3">
      <c r="A36" s="1"/>
      <c r="B36" s="151" t="s">
        <v>48</v>
      </c>
      <c r="C36" s="152">
        <v>212</v>
      </c>
      <c r="D36" s="1"/>
      <c r="E36" s="1"/>
      <c r="F36" s="1"/>
    </row>
    <row r="37" spans="1:11" ht="34.950000000000003" customHeight="1" x14ac:dyDescent="0.3">
      <c r="A37" s="1"/>
      <c r="B37" s="62" t="s">
        <v>49</v>
      </c>
      <c r="C37" s="52"/>
      <c r="D37" s="1"/>
      <c r="E37" s="1"/>
      <c r="F37" s="1"/>
    </row>
    <row r="38" spans="1:11" ht="22.95" customHeight="1" x14ac:dyDescent="0.3">
      <c r="A38" s="1"/>
      <c r="B38" s="150" t="s">
        <v>50</v>
      </c>
      <c r="C38" s="52">
        <f>C6</f>
        <v>9745</v>
      </c>
      <c r="D38" s="1"/>
      <c r="E38" s="1"/>
      <c r="F38" s="1"/>
    </row>
    <row r="39" spans="1:11" ht="34.200000000000003" customHeight="1" x14ac:dyDescent="0.3">
      <c r="A39" s="1"/>
      <c r="B39" s="299" t="s">
        <v>51</v>
      </c>
      <c r="C39" s="299"/>
      <c r="D39" s="299"/>
      <c r="E39" s="1"/>
      <c r="F39" s="1"/>
    </row>
    <row r="40" spans="1:11" ht="15.6" x14ac:dyDescent="0.3">
      <c r="A40" s="1"/>
      <c r="B40" s="202" t="s">
        <v>310</v>
      </c>
      <c r="C40" s="200">
        <v>1873</v>
      </c>
      <c r="E40" s="1"/>
      <c r="F40" s="1"/>
    </row>
    <row r="41" spans="1:11" ht="15.6" x14ac:dyDescent="0.3">
      <c r="A41" s="1"/>
      <c r="B41" s="202" t="s">
        <v>331</v>
      </c>
      <c r="C41" s="200">
        <v>840</v>
      </c>
      <c r="D41" s="1"/>
      <c r="E41" s="1"/>
      <c r="F41" s="1"/>
    </row>
    <row r="42" spans="1:11" ht="25.5" hidden="1" customHeight="1" x14ac:dyDescent="0.3">
      <c r="A42" s="1"/>
      <c r="B42" s="300" t="s">
        <v>52</v>
      </c>
      <c r="C42" s="300"/>
      <c r="D42" s="1"/>
      <c r="E42" s="1"/>
      <c r="F42" s="1"/>
    </row>
    <row r="43" spans="1:11" ht="43.95" hidden="1" customHeight="1" x14ac:dyDescent="0.3">
      <c r="A43" s="1"/>
      <c r="B43" s="301" t="s">
        <v>280</v>
      </c>
      <c r="C43" s="301"/>
      <c r="D43" s="301"/>
      <c r="E43" s="1"/>
      <c r="F43" s="1"/>
    </row>
    <row r="44" spans="1:11" ht="19.2" customHeight="1" x14ac:dyDescent="0.3">
      <c r="A44" s="1"/>
      <c r="B44" s="7"/>
      <c r="C44" s="7"/>
      <c r="D44" s="1"/>
      <c r="E44" s="1"/>
      <c r="F44" s="1"/>
    </row>
    <row r="45" spans="1:11" ht="33" customHeight="1" x14ac:dyDescent="0.3">
      <c r="A45" s="1"/>
      <c r="B45" s="203" t="s">
        <v>312</v>
      </c>
      <c r="C45" s="175"/>
      <c r="D45" s="1"/>
      <c r="E45" s="1"/>
      <c r="F45" s="1"/>
      <c r="G45" s="1"/>
      <c r="H45" s="203" t="s">
        <v>332</v>
      </c>
      <c r="I45" s="175"/>
      <c r="J45" s="1"/>
      <c r="K45" s="1"/>
    </row>
    <row r="46" spans="1:11" ht="19.2" customHeight="1" x14ac:dyDescent="0.3">
      <c r="A46" s="1"/>
      <c r="B46" s="5" t="s">
        <v>53</v>
      </c>
      <c r="D46" s="1"/>
      <c r="E46" s="1"/>
      <c r="F46" s="1"/>
      <c r="G46" s="1"/>
      <c r="H46" s="5" t="s">
        <v>53</v>
      </c>
      <c r="J46" s="1"/>
      <c r="K46" s="1"/>
    </row>
    <row r="47" spans="1:11" ht="15.6" x14ac:dyDescent="0.3">
      <c r="A47" s="1"/>
      <c r="B47" s="1"/>
      <c r="C47" s="1"/>
      <c r="F47" s="1"/>
      <c r="G47" s="1"/>
      <c r="H47" s="1"/>
      <c r="I47" s="1"/>
    </row>
    <row r="48" spans="1:11" ht="15.6" x14ac:dyDescent="0.3">
      <c r="A48" s="1"/>
      <c r="B48" s="52" t="s">
        <v>12</v>
      </c>
      <c r="C48" s="52" t="s">
        <v>54</v>
      </c>
      <c r="G48" s="1"/>
      <c r="H48" s="52" t="s">
        <v>12</v>
      </c>
      <c r="I48" s="52" t="s">
        <v>54</v>
      </c>
    </row>
    <row r="49" spans="1:11" ht="15.6" hidden="1" x14ac:dyDescent="0.3">
      <c r="A49" s="1"/>
      <c r="B49" s="150" t="s">
        <v>55</v>
      </c>
      <c r="C49" s="154">
        <f>C64</f>
        <v>0</v>
      </c>
      <c r="G49" s="1"/>
      <c r="H49" s="150" t="s">
        <v>55</v>
      </c>
      <c r="I49" s="154">
        <f>I64</f>
        <v>0</v>
      </c>
    </row>
    <row r="50" spans="1:11" ht="15.6" hidden="1" x14ac:dyDescent="0.3">
      <c r="A50" s="1"/>
      <c r="B50" s="150" t="s">
        <v>56</v>
      </c>
      <c r="C50" s="154">
        <f>C49*30.2%</f>
        <v>0</v>
      </c>
      <c r="G50" s="1"/>
      <c r="H50" s="150" t="s">
        <v>56</v>
      </c>
      <c r="I50" s="154">
        <f>I49*30.2%</f>
        <v>0</v>
      </c>
    </row>
    <row r="51" spans="1:11" ht="15.6" x14ac:dyDescent="0.3">
      <c r="A51" s="1"/>
      <c r="B51" s="150" t="s">
        <v>57</v>
      </c>
      <c r="C51" s="154">
        <f>C78</f>
        <v>45144.000000000007</v>
      </c>
      <c r="G51" s="1"/>
      <c r="H51" s="150" t="s">
        <v>57</v>
      </c>
      <c r="I51" s="154">
        <f>I78</f>
        <v>18810.000000000004</v>
      </c>
    </row>
    <row r="52" spans="1:11" ht="15.6" x14ac:dyDescent="0.3">
      <c r="A52" s="1"/>
      <c r="B52" s="150" t="s">
        <v>243</v>
      </c>
      <c r="C52" s="154">
        <f>E89</f>
        <v>500</v>
      </c>
      <c r="G52" s="1"/>
      <c r="H52" s="150" t="s">
        <v>243</v>
      </c>
      <c r="I52" s="154">
        <f>K89</f>
        <v>500</v>
      </c>
    </row>
    <row r="53" spans="1:11" ht="15.6" hidden="1" x14ac:dyDescent="0.3">
      <c r="A53" s="1"/>
      <c r="B53" s="150" t="s">
        <v>59</v>
      </c>
      <c r="C53" s="154">
        <f>E97</f>
        <v>0</v>
      </c>
      <c r="G53" s="1"/>
      <c r="H53" s="150" t="s">
        <v>59</v>
      </c>
      <c r="I53" s="154">
        <f>K97</f>
        <v>0</v>
      </c>
    </row>
    <row r="54" spans="1:11" ht="15.6" x14ac:dyDescent="0.3">
      <c r="A54" s="1"/>
      <c r="B54" s="150" t="s">
        <v>60</v>
      </c>
      <c r="C54" s="210">
        <f>E108</f>
        <v>210937.5</v>
      </c>
      <c r="G54" s="1"/>
      <c r="H54" s="150" t="s">
        <v>60</v>
      </c>
      <c r="I54" s="210">
        <f>K108</f>
        <v>87750</v>
      </c>
    </row>
    <row r="55" spans="1:11" ht="15.6" hidden="1" x14ac:dyDescent="0.3">
      <c r="A55" s="1"/>
      <c r="B55" s="150" t="s">
        <v>61</v>
      </c>
      <c r="C55" s="210">
        <f>E119</f>
        <v>0</v>
      </c>
      <c r="G55" s="1"/>
      <c r="H55" s="150" t="s">
        <v>61</v>
      </c>
      <c r="I55" s="210">
        <f>K119</f>
        <v>0</v>
      </c>
    </row>
    <row r="56" spans="1:11" ht="15.6" x14ac:dyDescent="0.3">
      <c r="A56" s="1"/>
      <c r="B56" s="155" t="s">
        <v>62</v>
      </c>
      <c r="C56" s="211">
        <f>SUM(C49:C55)</f>
        <v>256581.5</v>
      </c>
      <c r="G56" s="1"/>
      <c r="H56" s="155" t="s">
        <v>62</v>
      </c>
      <c r="I56" s="211">
        <f>SUM(I49:I55)</f>
        <v>107060</v>
      </c>
    </row>
    <row r="57" spans="1:11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6" hidden="1" x14ac:dyDescent="0.3">
      <c r="A58" s="1"/>
      <c r="B58" s="5" t="s">
        <v>63</v>
      </c>
      <c r="C58" s="1"/>
      <c r="D58" s="1"/>
      <c r="E58" s="1"/>
      <c r="F58" s="1"/>
      <c r="G58" s="1"/>
      <c r="H58" s="5" t="s">
        <v>63</v>
      </c>
      <c r="I58" s="1"/>
      <c r="J58" s="1"/>
      <c r="K58" s="1"/>
    </row>
    <row r="59" spans="1:11" ht="15.6" hidden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6" hidden="1" x14ac:dyDescent="0.3">
      <c r="A60" s="1"/>
      <c r="B60" s="52" t="s">
        <v>64</v>
      </c>
      <c r="C60" s="52" t="s">
        <v>12</v>
      </c>
      <c r="D60" s="1"/>
      <c r="E60" s="1"/>
      <c r="F60" s="1"/>
      <c r="G60" s="1"/>
      <c r="H60" s="52" t="s">
        <v>64</v>
      </c>
      <c r="I60" s="52" t="s">
        <v>12</v>
      </c>
      <c r="J60" s="1"/>
      <c r="K60" s="1"/>
    </row>
    <row r="61" spans="1:11" ht="15.6" hidden="1" x14ac:dyDescent="0.3">
      <c r="A61" s="1"/>
      <c r="B61" s="150" t="s">
        <v>65</v>
      </c>
      <c r="C61" s="52"/>
      <c r="D61" s="1"/>
      <c r="E61" s="1"/>
      <c r="F61" s="1"/>
      <c r="G61" s="1"/>
      <c r="H61" s="150" t="s">
        <v>65</v>
      </c>
      <c r="I61" s="52"/>
      <c r="J61" s="1"/>
      <c r="K61" s="1"/>
    </row>
    <row r="62" spans="1:11" ht="15.6" hidden="1" x14ac:dyDescent="0.3">
      <c r="A62" s="1"/>
      <c r="B62" s="150" t="s">
        <v>66</v>
      </c>
      <c r="C62" s="52"/>
      <c r="D62" s="1"/>
      <c r="E62" s="1"/>
      <c r="F62" s="1"/>
      <c r="G62" s="1"/>
      <c r="H62" s="150" t="s">
        <v>66</v>
      </c>
      <c r="I62" s="52"/>
      <c r="J62" s="1"/>
      <c r="K62" s="1"/>
    </row>
    <row r="63" spans="1:11" ht="15.6" hidden="1" x14ac:dyDescent="0.3">
      <c r="A63" s="1"/>
      <c r="B63" s="150" t="s">
        <v>67</v>
      </c>
      <c r="C63" s="52"/>
      <c r="D63" s="1"/>
      <c r="E63" s="1"/>
      <c r="F63" s="1"/>
      <c r="G63" s="1"/>
      <c r="H63" s="150" t="s">
        <v>67</v>
      </c>
      <c r="I63" s="52"/>
      <c r="J63" s="1"/>
      <c r="K63" s="1"/>
    </row>
    <row r="64" spans="1:11" ht="15.6" hidden="1" x14ac:dyDescent="0.3">
      <c r="A64" s="1"/>
      <c r="B64" s="150" t="s">
        <v>50</v>
      </c>
      <c r="C64" s="52">
        <f>C61*C62*C63</f>
        <v>0</v>
      </c>
      <c r="D64" s="1"/>
      <c r="E64" s="1"/>
      <c r="F64" s="1"/>
      <c r="G64" s="1"/>
      <c r="H64" s="150" t="s">
        <v>50</v>
      </c>
      <c r="I64" s="52">
        <f>I61*I62*I63</f>
        <v>0</v>
      </c>
      <c r="J64" s="1"/>
      <c r="K64" s="1"/>
    </row>
    <row r="65" spans="1:11" ht="15.6" hidden="1" x14ac:dyDescent="0.3">
      <c r="A65" s="1"/>
      <c r="B65" s="8" t="s">
        <v>68</v>
      </c>
      <c r="C65" s="9"/>
      <c r="D65" s="1"/>
      <c r="E65" s="1"/>
      <c r="F65" s="1"/>
      <c r="G65" s="1"/>
      <c r="H65" s="8" t="s">
        <v>68</v>
      </c>
      <c r="I65" s="9"/>
      <c r="J65" s="1"/>
      <c r="K65" s="1"/>
    </row>
    <row r="66" spans="1:11" ht="15.6" hidden="1" x14ac:dyDescent="0.3">
      <c r="A66" s="1"/>
      <c r="B66" s="8" t="s">
        <v>69</v>
      </c>
      <c r="C66" s="9"/>
      <c r="D66" s="1"/>
      <c r="E66" s="1"/>
      <c r="F66" s="1"/>
      <c r="G66" s="1"/>
      <c r="H66" s="8" t="s">
        <v>69</v>
      </c>
      <c r="I66" s="9"/>
      <c r="J66" s="1"/>
      <c r="K66" s="1"/>
    </row>
    <row r="67" spans="1:11" ht="15.6" hidden="1" x14ac:dyDescent="0.3">
      <c r="A67" s="1"/>
      <c r="B67" s="8" t="s">
        <v>70</v>
      </c>
      <c r="C67" s="1"/>
      <c r="D67" s="1"/>
      <c r="E67" s="1"/>
      <c r="F67" s="1"/>
      <c r="G67" s="1"/>
      <c r="H67" s="8" t="s">
        <v>70</v>
      </c>
      <c r="I67" s="1"/>
      <c r="J67" s="1"/>
      <c r="K67" s="1"/>
    </row>
    <row r="68" spans="1:11" ht="30" hidden="1" customHeight="1" x14ac:dyDescent="0.3">
      <c r="A68" s="1"/>
      <c r="B68" s="297" t="s">
        <v>71</v>
      </c>
      <c r="C68" s="297"/>
      <c r="D68" s="297"/>
      <c r="E68" s="1"/>
      <c r="F68" s="1"/>
      <c r="G68" s="1"/>
      <c r="H68" s="297" t="s">
        <v>71</v>
      </c>
      <c r="I68" s="297"/>
      <c r="J68" s="297"/>
      <c r="K68" s="1"/>
    </row>
    <row r="69" spans="1:11" ht="13.95" hidden="1" customHeight="1" x14ac:dyDescent="0.3">
      <c r="A69" s="1"/>
      <c r="B69" s="10"/>
      <c r="C69" s="10"/>
      <c r="D69" s="10"/>
      <c r="E69" s="1"/>
      <c r="F69" s="1"/>
      <c r="G69" s="1"/>
      <c r="H69" s="174"/>
      <c r="I69" s="174"/>
      <c r="J69" s="174"/>
      <c r="K69" s="1"/>
    </row>
    <row r="70" spans="1:11" ht="15.6" x14ac:dyDescent="0.3">
      <c r="A70" s="1"/>
      <c r="B70" s="5" t="s">
        <v>72</v>
      </c>
      <c r="C70" s="1"/>
      <c r="D70" s="1"/>
      <c r="E70" s="1"/>
      <c r="F70" s="1"/>
      <c r="G70" s="1"/>
      <c r="H70" s="5" t="s">
        <v>72</v>
      </c>
      <c r="I70" s="1"/>
      <c r="J70" s="1"/>
      <c r="K70" s="1"/>
    </row>
    <row r="71" spans="1:11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6" x14ac:dyDescent="0.3">
      <c r="A72" s="1"/>
      <c r="B72" s="52" t="s">
        <v>64</v>
      </c>
      <c r="C72" s="52" t="s">
        <v>12</v>
      </c>
      <c r="D72" s="1"/>
      <c r="F72" s="1"/>
      <c r="G72" s="1"/>
      <c r="H72" s="52" t="s">
        <v>64</v>
      </c>
      <c r="I72" s="52" t="s">
        <v>12</v>
      </c>
      <c r="J72" s="1"/>
    </row>
    <row r="73" spans="1:11" ht="15.6" x14ac:dyDescent="0.3">
      <c r="A73" s="1"/>
      <c r="B73" s="201" t="s">
        <v>73</v>
      </c>
      <c r="C73" s="154">
        <v>0.25</v>
      </c>
      <c r="D73" s="1"/>
      <c r="E73" s="1"/>
      <c r="F73" s="1"/>
      <c r="G73" s="1"/>
      <c r="H73" s="201" t="s">
        <v>73</v>
      </c>
      <c r="I73" s="154">
        <v>0.25</v>
      </c>
      <c r="J73" s="1"/>
      <c r="K73" s="1"/>
    </row>
    <row r="74" spans="1:11" ht="15.6" x14ac:dyDescent="0.3">
      <c r="A74" s="1"/>
      <c r="B74" s="150" t="s">
        <v>74</v>
      </c>
      <c r="C74" s="154">
        <f>1.5*1.1</f>
        <v>1.6500000000000001</v>
      </c>
      <c r="D74" s="1"/>
      <c r="E74" s="1"/>
      <c r="F74" s="1"/>
      <c r="G74" s="1"/>
      <c r="H74" s="150" t="s">
        <v>74</v>
      </c>
      <c r="I74" s="154">
        <f>1.5*1.1</f>
        <v>1.6500000000000001</v>
      </c>
      <c r="J74" s="1"/>
      <c r="K74" s="1"/>
    </row>
    <row r="75" spans="1:11" ht="15.6" x14ac:dyDescent="0.3">
      <c r="A75" s="1"/>
      <c r="B75" s="150" t="s">
        <v>75</v>
      </c>
      <c r="C75" s="154">
        <v>300</v>
      </c>
      <c r="D75" s="1"/>
      <c r="E75" s="1"/>
      <c r="F75" s="1"/>
      <c r="G75" s="1"/>
      <c r="H75" s="150" t="s">
        <v>75</v>
      </c>
      <c r="I75" s="154">
        <v>300</v>
      </c>
      <c r="J75" s="1"/>
      <c r="K75" s="1"/>
    </row>
    <row r="76" spans="1:11" ht="15.6" x14ac:dyDescent="0.3">
      <c r="A76" s="1"/>
      <c r="B76" s="150" t="s">
        <v>76</v>
      </c>
      <c r="C76" s="154">
        <v>30.4</v>
      </c>
      <c r="D76" s="1"/>
      <c r="E76" s="1"/>
      <c r="F76" s="1"/>
      <c r="G76" s="1"/>
      <c r="H76" s="150" t="s">
        <v>76</v>
      </c>
      <c r="I76" s="154">
        <v>30.4</v>
      </c>
      <c r="J76" s="1"/>
      <c r="K76" s="1"/>
    </row>
    <row r="77" spans="1:11" ht="15.6" x14ac:dyDescent="0.3">
      <c r="A77" s="1"/>
      <c r="B77" s="150" t="s">
        <v>77</v>
      </c>
      <c r="C77" s="154">
        <v>12</v>
      </c>
      <c r="D77" s="1"/>
      <c r="E77" s="1"/>
      <c r="F77" s="1"/>
      <c r="G77" s="1"/>
      <c r="H77" s="150" t="s">
        <v>77</v>
      </c>
      <c r="I77" s="154">
        <v>5</v>
      </c>
      <c r="J77" s="1"/>
      <c r="K77" s="1"/>
    </row>
    <row r="78" spans="1:11" ht="15.6" x14ac:dyDescent="0.3">
      <c r="A78" s="1"/>
      <c r="B78" s="155" t="s">
        <v>50</v>
      </c>
      <c r="C78" s="212">
        <f>C73*C74*C75*C76*C77</f>
        <v>45144.000000000007</v>
      </c>
      <c r="D78" s="1"/>
      <c r="E78" s="1"/>
      <c r="F78" s="1"/>
      <c r="G78" s="1"/>
      <c r="H78" s="155" t="s">
        <v>50</v>
      </c>
      <c r="I78" s="212">
        <f>I73*I74*I75*I76*I77</f>
        <v>18810.000000000004</v>
      </c>
      <c r="J78" s="1"/>
      <c r="K78" s="1"/>
    </row>
    <row r="79" spans="1:11" ht="24" customHeight="1" x14ac:dyDescent="0.3">
      <c r="A79" s="1"/>
      <c r="B79" s="11" t="s">
        <v>309</v>
      </c>
      <c r="C79" s="1"/>
      <c r="D79" s="1"/>
      <c r="E79" s="1"/>
      <c r="F79" s="1"/>
      <c r="G79" s="1"/>
      <c r="H79" s="11" t="s">
        <v>309</v>
      </c>
      <c r="I79" s="1"/>
      <c r="J79" s="1"/>
      <c r="K79" s="1"/>
    </row>
    <row r="80" spans="1:11" ht="21" customHeight="1" x14ac:dyDescent="0.3">
      <c r="A80" s="1"/>
      <c r="B80" s="11"/>
      <c r="C80" s="1"/>
      <c r="D80" s="1"/>
      <c r="E80" s="1"/>
      <c r="F80" s="1"/>
      <c r="G80" s="1"/>
      <c r="H80" s="11"/>
      <c r="I80" s="1"/>
      <c r="J80" s="1"/>
      <c r="K80" s="1"/>
    </row>
    <row r="81" spans="1:11" ht="16.2" customHeight="1" x14ac:dyDescent="0.3">
      <c r="A81" s="1"/>
      <c r="B81" s="5" t="s">
        <v>112</v>
      </c>
      <c r="C81" s="10"/>
      <c r="D81" s="1"/>
      <c r="E81" s="1"/>
      <c r="F81" s="1"/>
      <c r="G81" s="1"/>
      <c r="H81" s="5" t="s">
        <v>112</v>
      </c>
      <c r="I81" s="174"/>
      <c r="J81" s="1"/>
      <c r="K81" s="1"/>
    </row>
    <row r="82" spans="1:11" ht="15.6" customHeight="1" x14ac:dyDescent="0.3">
      <c r="A82" s="1"/>
      <c r="B82" s="10"/>
      <c r="C82" s="10"/>
      <c r="D82" s="1"/>
      <c r="E82" s="1"/>
      <c r="F82" s="1"/>
      <c r="G82" s="1"/>
      <c r="H82" s="174"/>
      <c r="I82" s="174"/>
      <c r="J82" s="1"/>
      <c r="K82" s="1"/>
    </row>
    <row r="83" spans="1:11" ht="14.4" customHeight="1" x14ac:dyDescent="0.3">
      <c r="A83" s="1"/>
      <c r="B83" s="52" t="s">
        <v>64</v>
      </c>
      <c r="C83" s="52" t="s">
        <v>17</v>
      </c>
      <c r="D83" s="52" t="s">
        <v>78</v>
      </c>
      <c r="E83" s="52" t="s">
        <v>79</v>
      </c>
      <c r="F83" s="1"/>
      <c r="G83" s="1"/>
      <c r="H83" s="52" t="s">
        <v>64</v>
      </c>
      <c r="I83" s="52" t="s">
        <v>17</v>
      </c>
      <c r="J83" s="52" t="s">
        <v>78</v>
      </c>
      <c r="K83" s="52" t="s">
        <v>79</v>
      </c>
    </row>
    <row r="84" spans="1:11" ht="29.4" customHeight="1" x14ac:dyDescent="0.3">
      <c r="A84" s="1"/>
      <c r="B84" s="150" t="s">
        <v>113</v>
      </c>
      <c r="C84" s="52">
        <v>1</v>
      </c>
      <c r="D84" s="52">
        <v>500</v>
      </c>
      <c r="E84" s="52">
        <f>C84*D84</f>
        <v>500</v>
      </c>
      <c r="F84" s="1"/>
      <c r="G84" s="1"/>
      <c r="H84" s="150" t="s">
        <v>113</v>
      </c>
      <c r="I84" s="52">
        <v>1</v>
      </c>
      <c r="J84" s="52">
        <v>500</v>
      </c>
      <c r="K84" s="52">
        <f>I84*J84</f>
        <v>500</v>
      </c>
    </row>
    <row r="85" spans="1:11" ht="16.2" customHeight="1" x14ac:dyDescent="0.3">
      <c r="A85" s="1"/>
      <c r="B85" s="150" t="s">
        <v>111</v>
      </c>
      <c r="C85" s="52">
        <v>1</v>
      </c>
      <c r="D85" s="52"/>
      <c r="E85" s="52">
        <f>C85*D85</f>
        <v>0</v>
      </c>
      <c r="F85" s="1"/>
      <c r="G85" s="1"/>
      <c r="H85" s="150" t="s">
        <v>111</v>
      </c>
      <c r="I85" s="52">
        <v>1</v>
      </c>
      <c r="J85" s="52"/>
      <c r="K85" s="52">
        <f>I85*J85</f>
        <v>0</v>
      </c>
    </row>
    <row r="86" spans="1:11" ht="16.2" customHeight="1" x14ac:dyDescent="0.3">
      <c r="A86" s="1"/>
      <c r="B86" s="150" t="s">
        <v>115</v>
      </c>
      <c r="C86" s="52">
        <v>1</v>
      </c>
      <c r="D86" s="52"/>
      <c r="E86" s="52">
        <f>C86*D86</f>
        <v>0</v>
      </c>
      <c r="F86" s="1"/>
      <c r="G86" s="1"/>
      <c r="H86" s="150" t="s">
        <v>115</v>
      </c>
      <c r="I86" s="52">
        <v>1</v>
      </c>
      <c r="J86" s="52"/>
      <c r="K86" s="52">
        <f>I86*J86</f>
        <v>0</v>
      </c>
    </row>
    <row r="87" spans="1:11" ht="30" customHeight="1" x14ac:dyDescent="0.3">
      <c r="A87" s="1"/>
      <c r="B87" s="213" t="s">
        <v>2</v>
      </c>
      <c r="C87" s="52">
        <v>1</v>
      </c>
      <c r="D87" s="52"/>
      <c r="E87" s="52">
        <f>C87*D87</f>
        <v>0</v>
      </c>
      <c r="F87" s="1"/>
      <c r="G87" s="1"/>
      <c r="H87" s="213" t="s">
        <v>2</v>
      </c>
      <c r="I87" s="52">
        <v>1</v>
      </c>
      <c r="J87" s="52"/>
      <c r="K87" s="52">
        <f>I87*J87</f>
        <v>0</v>
      </c>
    </row>
    <row r="88" spans="1:11" ht="14.4" customHeight="1" x14ac:dyDescent="0.3">
      <c r="A88" s="1"/>
      <c r="B88" s="150" t="s">
        <v>110</v>
      </c>
      <c r="C88" s="52">
        <v>1</v>
      </c>
      <c r="D88" s="52"/>
      <c r="E88" s="52">
        <f>C88*D88</f>
        <v>0</v>
      </c>
      <c r="F88" s="1"/>
      <c r="G88" s="1"/>
      <c r="H88" s="150" t="s">
        <v>110</v>
      </c>
      <c r="I88" s="52">
        <v>1</v>
      </c>
      <c r="J88" s="52"/>
      <c r="K88" s="52">
        <f>I88*J88</f>
        <v>0</v>
      </c>
    </row>
    <row r="89" spans="1:11" ht="14.4" customHeight="1" x14ac:dyDescent="0.3">
      <c r="A89" s="1"/>
      <c r="B89" s="155" t="s">
        <v>50</v>
      </c>
      <c r="C89" s="156"/>
      <c r="D89" s="156"/>
      <c r="E89" s="156">
        <f>SUM(E84:E88)</f>
        <v>500</v>
      </c>
      <c r="F89" s="1"/>
      <c r="G89" s="1"/>
      <c r="H89" s="155" t="s">
        <v>50</v>
      </c>
      <c r="I89" s="156"/>
      <c r="J89" s="156"/>
      <c r="K89" s="156">
        <f>SUM(K84:K88)</f>
        <v>500</v>
      </c>
    </row>
    <row r="90" spans="1:11" ht="14.4" customHeight="1" x14ac:dyDescent="0.3">
      <c r="A90" s="1"/>
      <c r="B90" s="12"/>
      <c r="C90" s="12"/>
      <c r="D90" s="1"/>
      <c r="E90" s="1"/>
      <c r="F90" s="1"/>
      <c r="G90" s="1"/>
      <c r="H90" s="12"/>
      <c r="I90" s="12"/>
      <c r="J90" s="1"/>
      <c r="K90" s="1"/>
    </row>
    <row r="91" spans="1:11" ht="15.6" hidden="1" x14ac:dyDescent="0.3">
      <c r="A91" s="1"/>
      <c r="B91" s="5" t="s">
        <v>80</v>
      </c>
      <c r="C91" s="1"/>
      <c r="D91" s="1"/>
      <c r="E91" s="1"/>
      <c r="F91" s="1"/>
      <c r="G91" s="1"/>
      <c r="H91" s="5" t="s">
        <v>80</v>
      </c>
      <c r="I91" s="1"/>
      <c r="J91" s="1"/>
      <c r="K91" s="1"/>
    </row>
    <row r="92" spans="1:11" ht="15.6" hidden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6" hidden="1" x14ac:dyDescent="0.3">
      <c r="A93" s="1"/>
      <c r="B93" s="52" t="s">
        <v>64</v>
      </c>
      <c r="C93" s="6" t="s">
        <v>81</v>
      </c>
      <c r="D93" s="3" t="s">
        <v>82</v>
      </c>
      <c r="E93" s="4" t="s">
        <v>14</v>
      </c>
      <c r="F93" s="1"/>
      <c r="G93" s="1"/>
      <c r="H93" s="52" t="s">
        <v>64</v>
      </c>
      <c r="I93" s="6" t="s">
        <v>81</v>
      </c>
      <c r="J93" s="3" t="s">
        <v>82</v>
      </c>
      <c r="K93" s="4" t="s">
        <v>14</v>
      </c>
    </row>
    <row r="94" spans="1:11" ht="15.6" hidden="1" x14ac:dyDescent="0.3">
      <c r="A94" s="1"/>
      <c r="B94" s="150" t="s">
        <v>83</v>
      </c>
      <c r="C94" s="52"/>
      <c r="D94" s="52"/>
      <c r="E94" s="52" t="s">
        <v>15</v>
      </c>
      <c r="F94" s="1"/>
      <c r="G94" s="1"/>
      <c r="H94" s="150" t="s">
        <v>83</v>
      </c>
      <c r="I94" s="52"/>
      <c r="J94" s="52"/>
      <c r="K94" s="52" t="s">
        <v>15</v>
      </c>
    </row>
    <row r="95" spans="1:11" ht="15.6" hidden="1" x14ac:dyDescent="0.3">
      <c r="A95" s="1"/>
      <c r="B95" s="150" t="s">
        <v>84</v>
      </c>
      <c r="C95" s="52"/>
      <c r="D95" s="52"/>
      <c r="E95" s="52" t="s">
        <v>15</v>
      </c>
      <c r="F95" s="1"/>
      <c r="G95" s="1"/>
      <c r="H95" s="150" t="s">
        <v>84</v>
      </c>
      <c r="I95" s="52"/>
      <c r="J95" s="52"/>
      <c r="K95" s="52" t="s">
        <v>15</v>
      </c>
    </row>
    <row r="96" spans="1:11" ht="15.6" hidden="1" x14ac:dyDescent="0.3">
      <c r="A96" s="1"/>
      <c r="B96" s="150" t="s">
        <v>66</v>
      </c>
      <c r="C96" s="52"/>
      <c r="D96" s="52"/>
      <c r="E96" s="52" t="s">
        <v>15</v>
      </c>
      <c r="F96" s="1"/>
      <c r="G96" s="1"/>
      <c r="H96" s="150" t="s">
        <v>66</v>
      </c>
      <c r="I96" s="52"/>
      <c r="J96" s="52"/>
      <c r="K96" s="52" t="s">
        <v>15</v>
      </c>
    </row>
    <row r="97" spans="1:11" ht="15.6" hidden="1" x14ac:dyDescent="0.3">
      <c r="A97" s="1"/>
      <c r="B97" s="150" t="s">
        <v>50</v>
      </c>
      <c r="C97" s="52">
        <f>C94*C95*C96</f>
        <v>0</v>
      </c>
      <c r="D97" s="52">
        <f>D94*D95*D96</f>
        <v>0</v>
      </c>
      <c r="E97" s="52">
        <f>C97+D97</f>
        <v>0</v>
      </c>
      <c r="F97" s="1"/>
      <c r="G97" s="1"/>
      <c r="H97" s="150" t="s">
        <v>50</v>
      </c>
      <c r="I97" s="52">
        <f>I94*I95*I96</f>
        <v>0</v>
      </c>
      <c r="J97" s="52">
        <f>J94*J95*J96</f>
        <v>0</v>
      </c>
      <c r="K97" s="52">
        <f>I97+J97</f>
        <v>0</v>
      </c>
    </row>
    <row r="98" spans="1:11" ht="28.95" hidden="1" customHeight="1" x14ac:dyDescent="0.3">
      <c r="A98" s="1"/>
      <c r="B98" s="298" t="s">
        <v>85</v>
      </c>
      <c r="C98" s="298"/>
      <c r="D98" s="298"/>
      <c r="E98" s="298"/>
      <c r="F98" s="1"/>
      <c r="G98" s="1"/>
      <c r="H98" s="298" t="s">
        <v>85</v>
      </c>
      <c r="I98" s="298"/>
      <c r="J98" s="298"/>
      <c r="K98" s="298"/>
    </row>
    <row r="99" spans="1:11" ht="15.6" hidden="1" x14ac:dyDescent="0.3">
      <c r="A99" s="1"/>
      <c r="B99" s="298" t="s">
        <v>86</v>
      </c>
      <c r="C99" s="298"/>
      <c r="D99" s="298"/>
      <c r="E99" s="298"/>
      <c r="F99" s="1"/>
      <c r="G99" s="1"/>
      <c r="H99" s="298" t="s">
        <v>86</v>
      </c>
      <c r="I99" s="298"/>
      <c r="J99" s="298"/>
      <c r="K99" s="298"/>
    </row>
    <row r="100" spans="1:11" ht="15.6" hidden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6" x14ac:dyDescent="0.3">
      <c r="A101" s="1"/>
      <c r="B101" s="5" t="s">
        <v>87</v>
      </c>
      <c r="C101" s="1"/>
      <c r="D101" s="1"/>
      <c r="E101" s="1"/>
      <c r="F101" s="1"/>
      <c r="G101" s="1"/>
      <c r="H101" s="5" t="s">
        <v>87</v>
      </c>
      <c r="I101" s="1"/>
      <c r="J101" s="1"/>
      <c r="K101" s="1"/>
    </row>
    <row r="102" spans="1:11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6" x14ac:dyDescent="0.3">
      <c r="A103" s="1"/>
      <c r="B103" s="52" t="s">
        <v>64</v>
      </c>
      <c r="C103" s="52" t="s">
        <v>81</v>
      </c>
      <c r="D103" s="52" t="s">
        <v>82</v>
      </c>
      <c r="E103" s="52" t="s">
        <v>14</v>
      </c>
      <c r="F103" s="1"/>
      <c r="G103" s="1"/>
      <c r="H103" s="52" t="s">
        <v>64</v>
      </c>
      <c r="I103" s="52" t="s">
        <v>81</v>
      </c>
      <c r="J103" s="52" t="s">
        <v>82</v>
      </c>
      <c r="K103" s="52" t="s">
        <v>14</v>
      </c>
    </row>
    <row r="104" spans="1:11" ht="15.6" x14ac:dyDescent="0.3">
      <c r="A104" s="1"/>
      <c r="B104" s="150" t="s">
        <v>88</v>
      </c>
      <c r="C104" s="52">
        <v>15</v>
      </c>
      <c r="D104" s="52">
        <f>C104*1.1</f>
        <v>16.5</v>
      </c>
      <c r="E104" s="52" t="s">
        <v>15</v>
      </c>
      <c r="F104" s="1"/>
      <c r="G104" s="1"/>
      <c r="H104" s="150" t="s">
        <v>88</v>
      </c>
      <c r="I104" s="52">
        <v>15</v>
      </c>
      <c r="J104" s="52">
        <f>I104*1.1</f>
        <v>16.5</v>
      </c>
      <c r="K104" s="52" t="s">
        <v>15</v>
      </c>
    </row>
    <row r="105" spans="1:11" ht="15.6" x14ac:dyDescent="0.3">
      <c r="A105" s="1"/>
      <c r="B105" s="150" t="s">
        <v>0</v>
      </c>
      <c r="C105" s="52">
        <v>45</v>
      </c>
      <c r="D105" s="52">
        <v>45</v>
      </c>
      <c r="E105" s="52" t="s">
        <v>15</v>
      </c>
      <c r="F105" s="1"/>
      <c r="G105" s="1"/>
      <c r="H105" s="150" t="s">
        <v>0</v>
      </c>
      <c r="I105" s="52">
        <v>45</v>
      </c>
      <c r="J105" s="52">
        <v>45</v>
      </c>
      <c r="K105" s="52" t="s">
        <v>15</v>
      </c>
    </row>
    <row r="106" spans="1:11" ht="15.6" x14ac:dyDescent="0.3">
      <c r="A106" s="1"/>
      <c r="B106" s="150" t="s">
        <v>77</v>
      </c>
      <c r="C106" s="52">
        <v>7</v>
      </c>
      <c r="D106" s="52">
        <v>5</v>
      </c>
      <c r="E106" s="52">
        <f>C106+D106</f>
        <v>12</v>
      </c>
      <c r="F106" s="1"/>
      <c r="G106" s="1"/>
      <c r="H106" s="150" t="s">
        <v>77</v>
      </c>
      <c r="I106" s="52">
        <v>3</v>
      </c>
      <c r="J106" s="52">
        <v>2</v>
      </c>
      <c r="K106" s="52">
        <f>I106+J106</f>
        <v>5</v>
      </c>
    </row>
    <row r="107" spans="1:11" ht="15.6" x14ac:dyDescent="0.3">
      <c r="A107" s="1"/>
      <c r="B107" s="150" t="s">
        <v>89</v>
      </c>
      <c r="C107" s="52">
        <v>2500</v>
      </c>
      <c r="D107" s="52">
        <v>2500</v>
      </c>
      <c r="E107" s="52">
        <v>5000</v>
      </c>
      <c r="F107" s="1"/>
      <c r="G107" s="1"/>
      <c r="H107" s="150" t="s">
        <v>89</v>
      </c>
      <c r="I107" s="52">
        <v>2500</v>
      </c>
      <c r="J107" s="52">
        <v>2500</v>
      </c>
      <c r="K107" s="52">
        <v>5000</v>
      </c>
    </row>
    <row r="108" spans="1:11" ht="15.6" x14ac:dyDescent="0.3">
      <c r="A108" s="1"/>
      <c r="B108" s="155" t="s">
        <v>90</v>
      </c>
      <c r="C108" s="157">
        <f>C104*C105*C106*C107/100</f>
        <v>118125</v>
      </c>
      <c r="D108" s="157">
        <f>D104*D105*D106*D107/100</f>
        <v>92812.5</v>
      </c>
      <c r="E108" s="157">
        <f>C108+D108</f>
        <v>210937.5</v>
      </c>
      <c r="F108" s="1"/>
      <c r="G108" s="1"/>
      <c r="H108" s="155" t="s">
        <v>90</v>
      </c>
      <c r="I108" s="157">
        <f>I104*I105*I106*I107/100</f>
        <v>50625</v>
      </c>
      <c r="J108" s="157">
        <f>J104*J105*J106*J107/100</f>
        <v>37125</v>
      </c>
      <c r="K108" s="157">
        <f>I108+J108</f>
        <v>87750</v>
      </c>
    </row>
    <row r="109" spans="1:11" ht="46.95" customHeight="1" x14ac:dyDescent="0.3">
      <c r="A109" s="1"/>
      <c r="B109" s="297" t="s">
        <v>222</v>
      </c>
      <c r="C109" s="297"/>
      <c r="D109" s="297"/>
      <c r="E109" s="297"/>
      <c r="F109" s="1"/>
      <c r="G109" s="1"/>
      <c r="H109" s="297" t="s">
        <v>222</v>
      </c>
      <c r="I109" s="297"/>
      <c r="J109" s="297"/>
      <c r="K109" s="297"/>
    </row>
    <row r="110" spans="1:11" ht="15.6" x14ac:dyDescent="0.3">
      <c r="A110" s="1"/>
      <c r="B110" s="1"/>
      <c r="C110" s="1"/>
      <c r="D110" s="1"/>
      <c r="E110" s="1"/>
      <c r="F110" s="1"/>
    </row>
    <row r="111" spans="1:11" ht="15.6" hidden="1" x14ac:dyDescent="0.3">
      <c r="A111" s="1"/>
      <c r="B111" s="5" t="s">
        <v>92</v>
      </c>
      <c r="C111" s="1"/>
      <c r="D111" s="1"/>
      <c r="E111" s="1"/>
      <c r="F111" s="1"/>
    </row>
    <row r="112" spans="1:11" ht="15.6" hidden="1" x14ac:dyDescent="0.3">
      <c r="A112" s="1"/>
      <c r="B112" s="1"/>
      <c r="C112" s="1"/>
      <c r="D112" s="1"/>
      <c r="E112" s="1"/>
      <c r="F112" s="1"/>
    </row>
    <row r="113" spans="1:6" ht="15.6" hidden="1" x14ac:dyDescent="0.3">
      <c r="A113" s="1"/>
      <c r="B113" s="52" t="s">
        <v>93</v>
      </c>
      <c r="C113" s="52" t="s">
        <v>94</v>
      </c>
      <c r="D113" s="52" t="s">
        <v>95</v>
      </c>
      <c r="E113" s="52" t="s">
        <v>96</v>
      </c>
      <c r="F113" s="1"/>
    </row>
    <row r="114" spans="1:6" ht="15.6" hidden="1" x14ac:dyDescent="0.3">
      <c r="A114" s="1"/>
      <c r="B114" s="150" t="s">
        <v>97</v>
      </c>
      <c r="C114" s="52"/>
      <c r="D114" s="52">
        <f>12*5</f>
        <v>60</v>
      </c>
      <c r="E114" s="52">
        <f>C114/D114*12</f>
        <v>0</v>
      </c>
      <c r="F114" s="1"/>
    </row>
    <row r="115" spans="1:6" ht="15.6" hidden="1" x14ac:dyDescent="0.3">
      <c r="A115" s="1"/>
      <c r="B115" s="62" t="s">
        <v>114</v>
      </c>
      <c r="C115" s="52"/>
      <c r="D115" s="52">
        <v>60</v>
      </c>
      <c r="E115" s="52">
        <f>C115/D115*12</f>
        <v>0</v>
      </c>
      <c r="F115" s="1"/>
    </row>
    <row r="116" spans="1:6" ht="15.6" hidden="1" x14ac:dyDescent="0.3">
      <c r="A116" s="1"/>
      <c r="B116" s="150" t="s">
        <v>100</v>
      </c>
      <c r="C116" s="52"/>
      <c r="D116" s="52">
        <v>60</v>
      </c>
      <c r="E116" s="52">
        <f>C116/D116*12</f>
        <v>0</v>
      </c>
      <c r="F116" s="1"/>
    </row>
    <row r="117" spans="1:6" ht="15.6" hidden="1" x14ac:dyDescent="0.3">
      <c r="A117" s="1"/>
      <c r="B117" s="150" t="s">
        <v>98</v>
      </c>
      <c r="C117" s="52"/>
      <c r="D117" s="52">
        <f>12*10</f>
        <v>120</v>
      </c>
      <c r="E117" s="52">
        <f>C117/D117*12</f>
        <v>0</v>
      </c>
      <c r="F117" s="1"/>
    </row>
    <row r="118" spans="1:6" ht="15.6" hidden="1" x14ac:dyDescent="0.3">
      <c r="A118" s="1"/>
      <c r="B118" s="150" t="s">
        <v>99</v>
      </c>
      <c r="C118" s="52"/>
      <c r="D118" s="52">
        <f>12*10</f>
        <v>120</v>
      </c>
      <c r="E118" s="52">
        <f>C118/D118*12</f>
        <v>0</v>
      </c>
      <c r="F118" s="1"/>
    </row>
    <row r="119" spans="1:6" ht="15.6" hidden="1" x14ac:dyDescent="0.3">
      <c r="A119" s="1"/>
      <c r="B119" s="150" t="s">
        <v>14</v>
      </c>
      <c r="C119" s="52">
        <f>SUM(C114:C118)</f>
        <v>0</v>
      </c>
      <c r="D119" s="52" t="s">
        <v>15</v>
      </c>
      <c r="E119" s="52">
        <f>SUM(E114:E118)</f>
        <v>0</v>
      </c>
      <c r="F119" s="1"/>
    </row>
    <row r="120" spans="1:6" ht="15.6" x14ac:dyDescent="0.3">
      <c r="A120" s="1"/>
      <c r="B120" s="1"/>
      <c r="C120" s="1"/>
      <c r="D120" s="1"/>
      <c r="E120" s="1"/>
      <c r="F120" s="1"/>
    </row>
    <row r="121" spans="1:6" ht="15.6" x14ac:dyDescent="0.3">
      <c r="A121" s="1"/>
      <c r="B121" s="1"/>
      <c r="C121" s="1"/>
      <c r="D121" s="1"/>
      <c r="E121" s="1"/>
      <c r="F121" s="1"/>
    </row>
    <row r="122" spans="1:6" ht="78" customHeight="1" x14ac:dyDescent="0.3">
      <c r="A122" s="96"/>
      <c r="B122" s="296" t="s">
        <v>333</v>
      </c>
      <c r="C122" s="296"/>
      <c r="D122" s="296"/>
      <c r="E122" s="296"/>
      <c r="F122" s="1"/>
    </row>
    <row r="123" spans="1:6" ht="15.6" x14ac:dyDescent="0.3">
      <c r="A123" s="96"/>
      <c r="B123" s="96"/>
      <c r="C123" s="96"/>
      <c r="D123" s="96"/>
      <c r="E123" s="96"/>
      <c r="F123" s="1"/>
    </row>
    <row r="124" spans="1:6" ht="15.6" x14ac:dyDescent="0.3">
      <c r="A124" s="96"/>
      <c r="B124" s="96"/>
      <c r="C124" s="96"/>
      <c r="D124" s="96"/>
      <c r="E124" s="96"/>
      <c r="F124" s="1"/>
    </row>
    <row r="125" spans="1:6" ht="15.6" x14ac:dyDescent="0.3">
      <c r="A125" s="96"/>
      <c r="B125" s="114" t="s">
        <v>12</v>
      </c>
      <c r="C125" s="114" t="s">
        <v>13</v>
      </c>
      <c r="D125" s="196" t="s">
        <v>317</v>
      </c>
      <c r="E125" s="96"/>
      <c r="F125" s="1"/>
    </row>
    <row r="126" spans="1:6" ht="15.6" x14ac:dyDescent="0.3">
      <c r="A126" s="191" t="s">
        <v>101</v>
      </c>
      <c r="B126" s="146" t="s">
        <v>57</v>
      </c>
      <c r="C126" s="194">
        <f>C78*4+I78</f>
        <v>199386.00000000003</v>
      </c>
      <c r="D126" s="189">
        <f>C135</f>
        <v>20.625000000000004</v>
      </c>
      <c r="E126" s="96"/>
      <c r="F126" s="1"/>
    </row>
    <row r="127" spans="1:6" ht="15.6" x14ac:dyDescent="0.3">
      <c r="A127" s="191" t="s">
        <v>263</v>
      </c>
      <c r="B127" s="146" t="s">
        <v>58</v>
      </c>
      <c r="C127" s="194">
        <f>E89*4+K89</f>
        <v>2500</v>
      </c>
      <c r="D127" s="189">
        <f>C142</f>
        <v>0.22831050228310501</v>
      </c>
      <c r="E127" s="96"/>
      <c r="F127" s="1"/>
    </row>
    <row r="128" spans="1:6" ht="15.6" x14ac:dyDescent="0.3">
      <c r="A128" s="191" t="s">
        <v>102</v>
      </c>
      <c r="B128" s="146" t="s">
        <v>60</v>
      </c>
      <c r="C128" s="194">
        <f>E108*4+K108</f>
        <v>931500</v>
      </c>
      <c r="D128" s="189">
        <f>C149</f>
        <v>96.318493150684944</v>
      </c>
      <c r="E128" s="96"/>
      <c r="F128" s="1"/>
    </row>
    <row r="129" spans="1:6" ht="15.6" x14ac:dyDescent="0.3">
      <c r="A129" s="190"/>
      <c r="B129" s="188" t="s">
        <v>14</v>
      </c>
      <c r="C129" s="195">
        <f>SUM(C126:C128)</f>
        <v>1133386</v>
      </c>
      <c r="D129" s="197">
        <f>SUM(D126:D128)</f>
        <v>117.17180365296805</v>
      </c>
      <c r="E129" s="96"/>
      <c r="F129" s="1"/>
    </row>
    <row r="130" spans="1:6" ht="15.6" x14ac:dyDescent="0.3">
      <c r="A130" s="1"/>
      <c r="B130" s="1"/>
      <c r="C130" s="1"/>
      <c r="D130" s="1"/>
      <c r="E130" s="1"/>
      <c r="F130" s="1"/>
    </row>
    <row r="131" spans="1:6" ht="15.6" x14ac:dyDescent="0.3">
      <c r="A131" s="1"/>
      <c r="B131" s="1"/>
      <c r="C131" s="1"/>
      <c r="D131" s="1"/>
      <c r="E131" s="1"/>
      <c r="F131" s="1"/>
    </row>
    <row r="132" spans="1:6" ht="15.6" x14ac:dyDescent="0.3">
      <c r="A132" s="191" t="s">
        <v>101</v>
      </c>
      <c r="B132" s="1" t="s">
        <v>57</v>
      </c>
      <c r="C132" s="1"/>
      <c r="D132" s="1"/>
      <c r="E132" s="1"/>
      <c r="F132" s="1"/>
    </row>
    <row r="133" spans="1:6" ht="15.6" x14ac:dyDescent="0.3">
      <c r="A133" s="1"/>
      <c r="B133" s="192" t="s">
        <v>318</v>
      </c>
      <c r="C133" s="192">
        <f>C73*C74*C75</f>
        <v>123.75000000000001</v>
      </c>
      <c r="D133" s="1"/>
      <c r="E133" s="1"/>
      <c r="F133" s="1"/>
    </row>
    <row r="134" spans="1:6" ht="15.6" x14ac:dyDescent="0.3">
      <c r="A134" s="1"/>
      <c r="B134" s="192" t="s">
        <v>320</v>
      </c>
      <c r="C134" s="192">
        <v>6</v>
      </c>
      <c r="D134" s="1"/>
      <c r="E134" s="1"/>
      <c r="F134" s="1"/>
    </row>
    <row r="135" spans="1:6" ht="15.6" x14ac:dyDescent="0.3">
      <c r="A135" s="1"/>
      <c r="B135" s="192" t="s">
        <v>319</v>
      </c>
      <c r="C135" s="193">
        <f>C133/C134</f>
        <v>20.625000000000004</v>
      </c>
      <c r="D135" s="1"/>
      <c r="E135" s="1"/>
      <c r="F135" s="1"/>
    </row>
    <row r="136" spans="1:6" ht="15.6" x14ac:dyDescent="0.3">
      <c r="A136" s="1"/>
      <c r="B136" s="1"/>
      <c r="C136" s="1"/>
      <c r="D136" s="1"/>
      <c r="E136" s="1"/>
      <c r="F136" s="1"/>
    </row>
    <row r="137" spans="1:6" ht="15.6" x14ac:dyDescent="0.3">
      <c r="A137" s="1" t="s">
        <v>263</v>
      </c>
      <c r="B137" s="1" t="s">
        <v>58</v>
      </c>
      <c r="C137" s="1"/>
      <c r="D137" s="1"/>
      <c r="E137" s="1"/>
      <c r="F137" s="1"/>
    </row>
    <row r="138" spans="1:6" ht="15.6" x14ac:dyDescent="0.3">
      <c r="A138" s="1"/>
      <c r="B138" s="192" t="s">
        <v>321</v>
      </c>
      <c r="C138" s="192">
        <f>E89</f>
        <v>500</v>
      </c>
      <c r="D138" s="1"/>
      <c r="E138" s="1"/>
      <c r="F138" s="1"/>
    </row>
    <row r="139" spans="1:6" ht="15.6" x14ac:dyDescent="0.3">
      <c r="A139" s="1"/>
      <c r="B139" s="192" t="s">
        <v>322</v>
      </c>
      <c r="C139" s="192">
        <v>365</v>
      </c>
      <c r="D139" s="1"/>
      <c r="E139" s="1"/>
      <c r="F139" s="1"/>
    </row>
    <row r="140" spans="1:6" ht="15.6" x14ac:dyDescent="0.3">
      <c r="A140" s="1"/>
      <c r="B140" s="192" t="s">
        <v>323</v>
      </c>
      <c r="C140" s="193">
        <f>C138/C139</f>
        <v>1.3698630136986301</v>
      </c>
      <c r="D140" s="1"/>
      <c r="E140" s="1"/>
      <c r="F140" s="1"/>
    </row>
    <row r="141" spans="1:6" ht="15.6" x14ac:dyDescent="0.3">
      <c r="A141" s="1"/>
      <c r="B141" s="192" t="s">
        <v>320</v>
      </c>
      <c r="C141" s="192">
        <v>6</v>
      </c>
      <c r="D141" s="1"/>
      <c r="E141" s="1"/>
      <c r="F141" s="1"/>
    </row>
    <row r="142" spans="1:6" ht="15.6" x14ac:dyDescent="0.3">
      <c r="A142" s="1"/>
      <c r="B142" s="192" t="s">
        <v>324</v>
      </c>
      <c r="C142" s="193">
        <f>C140/6</f>
        <v>0.22831050228310501</v>
      </c>
      <c r="D142" s="1"/>
      <c r="E142" s="1"/>
      <c r="F142" s="1"/>
    </row>
    <row r="143" spans="1:6" ht="15.6" x14ac:dyDescent="0.3">
      <c r="A143" s="1"/>
      <c r="B143" s="1"/>
      <c r="C143" s="1"/>
      <c r="D143" s="1"/>
      <c r="E143" s="1"/>
      <c r="F143" s="1"/>
    </row>
    <row r="144" spans="1:6" ht="15.6" x14ac:dyDescent="0.3">
      <c r="A144" s="1" t="s">
        <v>102</v>
      </c>
      <c r="B144" s="1" t="s">
        <v>60</v>
      </c>
      <c r="C144" s="1"/>
      <c r="D144" s="1"/>
      <c r="E144" s="1"/>
      <c r="F144" s="1"/>
    </row>
    <row r="145" spans="1:6" ht="15.6" x14ac:dyDescent="0.3">
      <c r="A145" s="1"/>
      <c r="B145" s="192" t="s">
        <v>325</v>
      </c>
      <c r="C145" s="193">
        <f>E108</f>
        <v>210937.5</v>
      </c>
      <c r="D145" s="1"/>
      <c r="E145" s="1"/>
      <c r="F145" s="1"/>
    </row>
    <row r="146" spans="1:6" ht="15.6" x14ac:dyDescent="0.3">
      <c r="A146" s="1"/>
      <c r="B146" s="192" t="s">
        <v>322</v>
      </c>
      <c r="C146" s="192">
        <v>365</v>
      </c>
      <c r="D146" s="1"/>
      <c r="E146" s="1"/>
      <c r="F146" s="1"/>
    </row>
    <row r="147" spans="1:6" ht="15.6" x14ac:dyDescent="0.3">
      <c r="A147" s="1"/>
      <c r="B147" s="192" t="s">
        <v>326</v>
      </c>
      <c r="C147" s="193">
        <f>C145/365</f>
        <v>577.91095890410963</v>
      </c>
      <c r="D147" s="1"/>
      <c r="E147" s="1"/>
      <c r="F147" s="1"/>
    </row>
    <row r="148" spans="1:6" ht="15.6" x14ac:dyDescent="0.3">
      <c r="A148" s="1"/>
      <c r="B148" s="192" t="s">
        <v>320</v>
      </c>
      <c r="C148" s="192">
        <v>6</v>
      </c>
      <c r="D148" s="1"/>
      <c r="E148" s="1"/>
      <c r="F148" s="1"/>
    </row>
    <row r="149" spans="1:6" ht="15.6" x14ac:dyDescent="0.3">
      <c r="A149" s="1"/>
      <c r="B149" s="192" t="s">
        <v>327</v>
      </c>
      <c r="C149" s="193">
        <f>C147/C148</f>
        <v>96.318493150684944</v>
      </c>
      <c r="D149" s="1"/>
      <c r="E149" s="1"/>
      <c r="F149" s="1"/>
    </row>
    <row r="150" spans="1:6" ht="15.6" x14ac:dyDescent="0.3">
      <c r="A150" s="1"/>
      <c r="B150" s="1"/>
      <c r="C150" s="1"/>
      <c r="D150" s="1"/>
      <c r="E150" s="1"/>
      <c r="F150" s="1"/>
    </row>
    <row r="151" spans="1:6" ht="15.6" x14ac:dyDescent="0.3">
      <c r="A151" s="1"/>
      <c r="B151" s="1"/>
      <c r="C151" s="1"/>
      <c r="D151" s="1"/>
      <c r="E151" s="1"/>
      <c r="F151" s="1"/>
    </row>
    <row r="152" spans="1:6" ht="15.6" x14ac:dyDescent="0.3">
      <c r="A152" s="1"/>
      <c r="B152" s="1"/>
      <c r="C152" s="1"/>
      <c r="D152" s="1"/>
      <c r="E152" s="1"/>
      <c r="F152" s="1"/>
    </row>
    <row r="153" spans="1:6" ht="15.6" x14ac:dyDescent="0.3">
      <c r="A153" s="1"/>
      <c r="B153" s="1"/>
      <c r="C153" s="1"/>
      <c r="D153" s="1"/>
      <c r="E153" s="1"/>
      <c r="F153" s="1"/>
    </row>
    <row r="154" spans="1:6" ht="15.6" x14ac:dyDescent="0.3">
      <c r="A154" s="1"/>
      <c r="B154" s="1"/>
      <c r="C154" s="1"/>
      <c r="D154" s="1"/>
      <c r="E154" s="1"/>
      <c r="F154" s="1"/>
    </row>
    <row r="155" spans="1:6" ht="15.6" x14ac:dyDescent="0.3">
      <c r="A155" s="1"/>
      <c r="B155" s="1"/>
      <c r="C155" s="1"/>
      <c r="D155" s="1"/>
      <c r="E155" s="1"/>
      <c r="F155" s="1"/>
    </row>
    <row r="156" spans="1:6" ht="15.6" x14ac:dyDescent="0.3">
      <c r="A156" s="1"/>
      <c r="B156" s="1"/>
      <c r="C156" s="1"/>
      <c r="D156" s="1"/>
      <c r="E156" s="1"/>
      <c r="F156" s="1"/>
    </row>
    <row r="157" spans="1:6" ht="15.6" x14ac:dyDescent="0.3">
      <c r="A157" s="1"/>
      <c r="B157" s="1"/>
      <c r="C157" s="1"/>
      <c r="D157" s="1"/>
      <c r="E157" s="1"/>
      <c r="F157" s="1"/>
    </row>
    <row r="158" spans="1:6" ht="15.6" x14ac:dyDescent="0.3">
      <c r="A158" s="1"/>
      <c r="B158" s="1"/>
      <c r="C158" s="1"/>
      <c r="D158" s="1"/>
      <c r="E158" s="1"/>
      <c r="F158" s="1"/>
    </row>
    <row r="159" spans="1:6" ht="15.6" x14ac:dyDescent="0.3">
      <c r="A159" s="1"/>
      <c r="B159" s="1"/>
      <c r="C159" s="1"/>
      <c r="D159" s="1"/>
      <c r="E159" s="1"/>
      <c r="F159" s="1"/>
    </row>
    <row r="160" spans="1:6" ht="15.6" x14ac:dyDescent="0.3">
      <c r="A160" s="1"/>
      <c r="B160" s="1"/>
      <c r="C160" s="1"/>
      <c r="D160" s="1"/>
      <c r="E160" s="1"/>
      <c r="F160" s="1"/>
    </row>
    <row r="161" spans="1:6" ht="15.6" x14ac:dyDescent="0.3">
      <c r="A161" s="1"/>
      <c r="B161" s="1"/>
      <c r="C161" s="1"/>
      <c r="D161" s="1"/>
      <c r="E161" s="1"/>
      <c r="F161" s="1"/>
    </row>
    <row r="162" spans="1:6" ht="15.6" x14ac:dyDescent="0.3">
      <c r="A162" s="1"/>
      <c r="B162" s="1"/>
      <c r="C162" s="1"/>
      <c r="D162" s="1"/>
      <c r="E162" s="1"/>
      <c r="F162" s="1"/>
    </row>
    <row r="163" spans="1:6" ht="15.6" x14ac:dyDescent="0.3">
      <c r="A163" s="1"/>
      <c r="B163" s="1"/>
      <c r="C163" s="1"/>
      <c r="D163" s="1"/>
      <c r="E163" s="1"/>
      <c r="F163" s="1"/>
    </row>
    <row r="164" spans="1:6" ht="15.6" x14ac:dyDescent="0.3">
      <c r="A164" s="1"/>
      <c r="B164" s="1"/>
      <c r="C164" s="1"/>
      <c r="D164" s="1"/>
      <c r="E164" s="1"/>
      <c r="F164" s="1"/>
    </row>
    <row r="165" spans="1:6" ht="15.6" x14ac:dyDescent="0.3">
      <c r="A165" s="1"/>
      <c r="B165" s="1"/>
      <c r="C165" s="1"/>
      <c r="D165" s="1"/>
      <c r="E165" s="1"/>
      <c r="F165" s="1"/>
    </row>
    <row r="166" spans="1:6" ht="15.6" x14ac:dyDescent="0.3">
      <c r="A166" s="1"/>
      <c r="B166" s="1"/>
      <c r="C166" s="1"/>
      <c r="D166" s="1"/>
      <c r="E166" s="1"/>
      <c r="F166" s="1"/>
    </row>
    <row r="167" spans="1:6" ht="15.6" x14ac:dyDescent="0.3">
      <c r="A167" s="1"/>
      <c r="B167" s="1"/>
      <c r="C167" s="1"/>
      <c r="D167" s="1"/>
      <c r="E167" s="1"/>
      <c r="F167" s="1"/>
    </row>
    <row r="168" spans="1:6" ht="15.6" x14ac:dyDescent="0.3">
      <c r="A168" s="1"/>
      <c r="B168" s="1"/>
      <c r="C168" s="1"/>
      <c r="D168" s="1"/>
      <c r="E168" s="1"/>
      <c r="F168" s="1"/>
    </row>
    <row r="169" spans="1:6" ht="15.6" x14ac:dyDescent="0.3">
      <c r="A169" s="1"/>
      <c r="B169" s="1"/>
      <c r="C169" s="1"/>
      <c r="D169" s="1"/>
      <c r="E169" s="1"/>
      <c r="F169" s="1"/>
    </row>
    <row r="170" spans="1:6" ht="15.6" x14ac:dyDescent="0.3">
      <c r="A170" s="1"/>
      <c r="B170" s="1"/>
      <c r="C170" s="1"/>
      <c r="D170" s="1"/>
      <c r="E170" s="1"/>
      <c r="F170" s="1"/>
    </row>
    <row r="171" spans="1:6" ht="15.6" x14ac:dyDescent="0.3">
      <c r="A171" s="1"/>
      <c r="B171" s="1"/>
      <c r="C171" s="1"/>
      <c r="D171" s="1"/>
      <c r="E171" s="1"/>
      <c r="F171" s="1"/>
    </row>
    <row r="172" spans="1:6" ht="15.6" x14ac:dyDescent="0.3">
      <c r="A172" s="1"/>
      <c r="B172" s="1"/>
      <c r="C172" s="1"/>
      <c r="D172" s="1"/>
      <c r="E172" s="1"/>
      <c r="F172" s="1"/>
    </row>
    <row r="173" spans="1:6" ht="15.6" x14ac:dyDescent="0.3">
      <c r="A173" s="1"/>
      <c r="B173" s="1"/>
      <c r="C173" s="1"/>
      <c r="D173" s="1"/>
      <c r="E173" s="1"/>
      <c r="F173" s="1"/>
    </row>
    <row r="174" spans="1:6" ht="15.6" x14ac:dyDescent="0.3">
      <c r="A174" s="1"/>
      <c r="B174" s="1"/>
      <c r="C174" s="1"/>
      <c r="D174" s="1"/>
      <c r="E174" s="1"/>
      <c r="F174" s="1"/>
    </row>
    <row r="175" spans="1:6" ht="15.6" x14ac:dyDescent="0.3">
      <c r="A175" s="1"/>
      <c r="B175" s="1"/>
      <c r="C175" s="1"/>
      <c r="D175" s="1"/>
      <c r="E175" s="1"/>
      <c r="F175" s="1"/>
    </row>
    <row r="176" spans="1:6" ht="15.6" x14ac:dyDescent="0.3">
      <c r="A176" s="1"/>
      <c r="B176" s="1"/>
      <c r="C176" s="1"/>
      <c r="D176" s="1"/>
      <c r="E176" s="1"/>
      <c r="F176" s="1"/>
    </row>
    <row r="177" spans="1:6" ht="15.6" x14ac:dyDescent="0.3">
      <c r="A177" s="1"/>
      <c r="B177" s="1"/>
      <c r="C177" s="1"/>
      <c r="D177" s="1"/>
      <c r="E177" s="1"/>
      <c r="F177" s="1"/>
    </row>
    <row r="178" spans="1:6" ht="15.6" x14ac:dyDescent="0.3">
      <c r="A178" s="1"/>
      <c r="B178" s="1"/>
      <c r="C178" s="1"/>
      <c r="D178" s="1"/>
      <c r="E178" s="1"/>
      <c r="F178" s="1"/>
    </row>
    <row r="179" spans="1:6" ht="15.6" x14ac:dyDescent="0.3">
      <c r="A179" s="1"/>
      <c r="B179" s="1"/>
      <c r="C179" s="1"/>
      <c r="D179" s="1"/>
      <c r="E179" s="1"/>
      <c r="F179" s="1"/>
    </row>
    <row r="180" spans="1:6" ht="15.6" x14ac:dyDescent="0.3">
      <c r="A180" s="1"/>
      <c r="B180" s="1"/>
      <c r="C180" s="1"/>
      <c r="D180" s="1"/>
      <c r="E180" s="1"/>
      <c r="F180" s="1"/>
    </row>
    <row r="181" spans="1:6" ht="15.6" x14ac:dyDescent="0.3">
      <c r="A181" s="1"/>
      <c r="B181" s="1"/>
      <c r="C181" s="1"/>
      <c r="D181" s="1"/>
      <c r="E181" s="1"/>
      <c r="F181" s="1"/>
    </row>
    <row r="182" spans="1:6" ht="15.6" x14ac:dyDescent="0.3">
      <c r="A182" s="1"/>
      <c r="B182" s="1"/>
      <c r="C182" s="1"/>
      <c r="D182" s="1"/>
      <c r="E182" s="1"/>
      <c r="F182" s="1"/>
    </row>
    <row r="183" spans="1:6" ht="15.6" x14ac:dyDescent="0.3">
      <c r="A183" s="1"/>
      <c r="B183" s="1"/>
      <c r="C183" s="1"/>
      <c r="D183" s="1"/>
      <c r="E183" s="1"/>
      <c r="F183" s="1"/>
    </row>
    <row r="184" spans="1:6" ht="15.6" x14ac:dyDescent="0.3">
      <c r="A184" s="1"/>
      <c r="B184" s="1"/>
      <c r="C184" s="1"/>
      <c r="D184" s="1"/>
      <c r="E184" s="1"/>
      <c r="F184" s="1"/>
    </row>
    <row r="185" spans="1:6" ht="15.6" x14ac:dyDescent="0.3">
      <c r="A185" s="1"/>
      <c r="B185" s="1"/>
      <c r="C185" s="1"/>
      <c r="D185" s="1"/>
      <c r="E185" s="1"/>
      <c r="F185" s="1"/>
    </row>
    <row r="186" spans="1:6" ht="15.6" x14ac:dyDescent="0.3">
      <c r="A186" s="1"/>
      <c r="B186" s="1"/>
      <c r="C186" s="1"/>
      <c r="D186" s="1"/>
      <c r="E186" s="1"/>
      <c r="F186" s="1"/>
    </row>
    <row r="187" spans="1:6" ht="15.6" x14ac:dyDescent="0.3">
      <c r="A187" s="1"/>
      <c r="B187" s="1"/>
      <c r="C187" s="1"/>
      <c r="D187" s="1"/>
      <c r="E187" s="1"/>
      <c r="F187" s="1"/>
    </row>
    <row r="188" spans="1:6" ht="15.6" x14ac:dyDescent="0.3">
      <c r="A188" s="1"/>
      <c r="B188" s="1"/>
      <c r="C188" s="1"/>
      <c r="D188" s="1"/>
      <c r="E188" s="1"/>
      <c r="F188" s="1"/>
    </row>
    <row r="189" spans="1:6" ht="15.6" x14ac:dyDescent="0.3">
      <c r="A189" s="1"/>
      <c r="B189" s="1"/>
      <c r="C189" s="1"/>
      <c r="D189" s="1"/>
      <c r="E189" s="1"/>
      <c r="F189" s="1"/>
    </row>
    <row r="190" spans="1:6" ht="15.6" x14ac:dyDescent="0.3">
      <c r="A190" s="1"/>
      <c r="B190" s="1"/>
      <c r="C190" s="1"/>
      <c r="D190" s="1"/>
      <c r="E190" s="1"/>
      <c r="F190" s="1"/>
    </row>
    <row r="191" spans="1:6" ht="15.6" x14ac:dyDescent="0.3">
      <c r="A191" s="1"/>
      <c r="B191" s="1"/>
      <c r="C191" s="1"/>
      <c r="D191" s="1"/>
      <c r="E191" s="1"/>
      <c r="F191" s="1"/>
    </row>
    <row r="192" spans="1:6" ht="15.6" x14ac:dyDescent="0.3">
      <c r="A192" s="1"/>
      <c r="B192" s="1"/>
      <c r="C192" s="1"/>
      <c r="D192" s="1"/>
      <c r="E192" s="1"/>
      <c r="F192" s="1"/>
    </row>
    <row r="193" spans="1:6" ht="15.6" x14ac:dyDescent="0.3">
      <c r="A193" s="1"/>
      <c r="B193" s="1"/>
      <c r="C193" s="1"/>
      <c r="D193" s="1"/>
      <c r="E193" s="1"/>
      <c r="F193" s="1"/>
    </row>
    <row r="194" spans="1:6" ht="15.6" x14ac:dyDescent="0.3">
      <c r="A194" s="1"/>
      <c r="B194" s="1"/>
      <c r="C194" s="1"/>
      <c r="D194" s="1"/>
      <c r="E194" s="1"/>
      <c r="F194" s="1"/>
    </row>
    <row r="195" spans="1:6" ht="15.6" x14ac:dyDescent="0.3">
      <c r="A195" s="1"/>
      <c r="B195" s="1"/>
      <c r="C195" s="1"/>
      <c r="D195" s="1"/>
      <c r="E195" s="1"/>
      <c r="F195" s="1"/>
    </row>
    <row r="196" spans="1:6" ht="15.6" x14ac:dyDescent="0.3">
      <c r="A196" s="1"/>
      <c r="B196" s="1"/>
      <c r="C196" s="1"/>
      <c r="D196" s="1"/>
      <c r="E196" s="1"/>
      <c r="F196" s="1"/>
    </row>
    <row r="197" spans="1:6" ht="15.6" x14ac:dyDescent="0.3">
      <c r="A197" s="1"/>
      <c r="B197" s="1"/>
      <c r="C197" s="1"/>
      <c r="D197" s="1"/>
      <c r="E197" s="1"/>
      <c r="F197" s="1"/>
    </row>
    <row r="198" spans="1:6" ht="15.6" x14ac:dyDescent="0.3">
      <c r="A198" s="1"/>
      <c r="B198" s="1"/>
      <c r="C198" s="1"/>
      <c r="D198" s="1"/>
      <c r="E198" s="1"/>
      <c r="F198" s="1"/>
    </row>
    <row r="199" spans="1:6" ht="15.6" x14ac:dyDescent="0.3">
      <c r="A199" s="1"/>
      <c r="B199" s="1"/>
      <c r="C199" s="1"/>
      <c r="D199" s="1"/>
      <c r="E199" s="1"/>
      <c r="F199" s="1"/>
    </row>
    <row r="200" spans="1:6" ht="15.6" x14ac:dyDescent="0.3">
      <c r="A200" s="1"/>
      <c r="B200" s="1"/>
      <c r="C200" s="1"/>
      <c r="D200" s="1"/>
      <c r="E200" s="1"/>
      <c r="F200" s="1"/>
    </row>
    <row r="201" spans="1:6" ht="15.6" x14ac:dyDescent="0.3">
      <c r="A201" s="1"/>
      <c r="B201" s="1"/>
      <c r="C201" s="1"/>
      <c r="D201" s="1"/>
      <c r="E201" s="1"/>
      <c r="F201" s="1"/>
    </row>
    <row r="202" spans="1:6" ht="15.6" x14ac:dyDescent="0.3">
      <c r="A202" s="1"/>
      <c r="B202" s="1"/>
      <c r="C202" s="1"/>
      <c r="D202" s="1"/>
      <c r="E202" s="1"/>
      <c r="F202" s="1"/>
    </row>
    <row r="203" spans="1:6" ht="15.6" x14ac:dyDescent="0.3">
      <c r="A203" s="1"/>
      <c r="B203" s="1"/>
      <c r="C203" s="1"/>
      <c r="D203" s="1"/>
      <c r="E203" s="1"/>
      <c r="F203" s="1"/>
    </row>
    <row r="204" spans="1:6" ht="15.6" x14ac:dyDescent="0.3">
      <c r="A204" s="1"/>
      <c r="B204" s="1"/>
      <c r="C204" s="1"/>
      <c r="D204" s="1"/>
      <c r="E204" s="1"/>
      <c r="F204" s="1"/>
    </row>
    <row r="205" spans="1:6" ht="15.6" x14ac:dyDescent="0.3">
      <c r="A205" s="1"/>
      <c r="B205" s="1"/>
      <c r="C205" s="1"/>
      <c r="D205" s="1"/>
      <c r="E205" s="1"/>
      <c r="F205" s="1"/>
    </row>
    <row r="206" spans="1:6" ht="15.6" x14ac:dyDescent="0.3">
      <c r="A206" s="1"/>
      <c r="B206" s="1"/>
      <c r="C206" s="1"/>
      <c r="D206" s="1"/>
      <c r="E206" s="1"/>
      <c r="F206" s="1"/>
    </row>
    <row r="207" spans="1:6" ht="15.6" x14ac:dyDescent="0.3">
      <c r="A207" s="1"/>
      <c r="B207" s="1"/>
      <c r="C207" s="1"/>
      <c r="D207" s="1"/>
      <c r="E207" s="1"/>
      <c r="F207" s="1"/>
    </row>
    <row r="208" spans="1:6" ht="15.6" x14ac:dyDescent="0.3">
      <c r="A208" s="1"/>
      <c r="B208" s="1"/>
      <c r="C208" s="1"/>
      <c r="D208" s="1"/>
      <c r="E208" s="1"/>
      <c r="F208" s="1"/>
    </row>
    <row r="209" spans="1:6" ht="15.6" x14ac:dyDescent="0.3">
      <c r="A209" s="1"/>
      <c r="B209" s="1"/>
      <c r="C209" s="1"/>
      <c r="D209" s="1"/>
      <c r="E209" s="1"/>
      <c r="F209" s="1"/>
    </row>
    <row r="210" spans="1:6" ht="15.6" x14ac:dyDescent="0.3">
      <c r="A210" s="1"/>
      <c r="B210" s="1"/>
      <c r="C210" s="1"/>
      <c r="D210" s="1"/>
      <c r="E210" s="1"/>
      <c r="F210" s="1"/>
    </row>
    <row r="211" spans="1:6" ht="15.6" x14ac:dyDescent="0.3">
      <c r="A211" s="1"/>
      <c r="B211" s="1"/>
      <c r="C211" s="1"/>
      <c r="D211" s="1"/>
      <c r="E211" s="1"/>
      <c r="F211" s="1"/>
    </row>
    <row r="212" spans="1:6" ht="15.6" x14ac:dyDescent="0.3">
      <c r="A212" s="1"/>
      <c r="B212" s="1"/>
      <c r="C212" s="1"/>
      <c r="D212" s="1"/>
      <c r="E212" s="1"/>
      <c r="F212" s="1"/>
    </row>
    <row r="213" spans="1:6" ht="15.6" x14ac:dyDescent="0.3">
      <c r="A213" s="1"/>
      <c r="B213" s="1"/>
      <c r="C213" s="1"/>
      <c r="D213" s="1"/>
      <c r="E213" s="1"/>
      <c r="F213" s="1"/>
    </row>
    <row r="214" spans="1:6" ht="15.6" x14ac:dyDescent="0.3">
      <c r="A214" s="1"/>
      <c r="B214" s="1"/>
      <c r="C214" s="1"/>
      <c r="D214" s="1"/>
      <c r="E214" s="1"/>
      <c r="F214" s="1"/>
    </row>
    <row r="215" spans="1:6" ht="15.6" x14ac:dyDescent="0.3">
      <c r="A215" s="1"/>
      <c r="B215" s="1"/>
      <c r="C215" s="1"/>
      <c r="D215" s="1"/>
      <c r="E215" s="1"/>
      <c r="F215" s="1"/>
    </row>
    <row r="216" spans="1:6" ht="15.6" x14ac:dyDescent="0.3">
      <c r="A216" s="1"/>
      <c r="B216" s="1"/>
      <c r="C216" s="1"/>
      <c r="D216" s="1"/>
      <c r="E216" s="1"/>
      <c r="F216" s="1"/>
    </row>
    <row r="217" spans="1:6" ht="15.6" x14ac:dyDescent="0.3">
      <c r="A217" s="1"/>
      <c r="B217" s="1"/>
      <c r="C217" s="1"/>
      <c r="D217" s="1"/>
      <c r="E217" s="1"/>
      <c r="F217" s="1"/>
    </row>
    <row r="218" spans="1:6" ht="15.6" x14ac:dyDescent="0.3">
      <c r="A218" s="1"/>
      <c r="B218" s="1"/>
      <c r="C218" s="1"/>
      <c r="D218" s="1"/>
      <c r="E218" s="1"/>
      <c r="F218" s="1"/>
    </row>
    <row r="219" spans="1:6" ht="15.6" x14ac:dyDescent="0.3">
      <c r="B219" s="1"/>
    </row>
    <row r="220" spans="1:6" ht="15.6" x14ac:dyDescent="0.3">
      <c r="B220" s="1"/>
    </row>
  </sheetData>
  <mergeCells count="14">
    <mergeCell ref="B1:E1"/>
    <mergeCell ref="B3:C3"/>
    <mergeCell ref="B39:D39"/>
    <mergeCell ref="B42:C42"/>
    <mergeCell ref="B43:D43"/>
    <mergeCell ref="B122:E122"/>
    <mergeCell ref="H68:J68"/>
    <mergeCell ref="H98:K98"/>
    <mergeCell ref="H99:K99"/>
    <mergeCell ref="H109:K109"/>
    <mergeCell ref="B98:E98"/>
    <mergeCell ref="B99:E99"/>
    <mergeCell ref="B109:E109"/>
    <mergeCell ref="B68:D68"/>
  </mergeCells>
  <phoneticPr fontId="12" type="noConversion"/>
  <pageMargins left="0.70866141732283472" right="0.70866141732283472" top="0.35433070866141736" bottom="0.35433070866141736" header="0.31496062992125984" footer="0.31496062992125984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view="pageBreakPreview" zoomScale="60" zoomScaleNormal="75" workbookViewId="0">
      <selection sqref="A1:F1"/>
    </sheetView>
  </sheetViews>
  <sheetFormatPr defaultRowHeight="13.8" x14ac:dyDescent="0.25"/>
  <cols>
    <col min="1" max="1" width="6" style="19" customWidth="1"/>
    <col min="2" max="2" width="61.5546875" style="19" customWidth="1"/>
    <col min="3" max="3" width="11.6640625" style="18" customWidth="1"/>
    <col min="4" max="4" width="11.6640625" style="87" customWidth="1"/>
    <col min="5" max="5" width="19.6640625" style="18" customWidth="1"/>
    <col min="6" max="6" width="14.6640625" style="18" customWidth="1"/>
    <col min="7" max="7" width="57.109375" style="18" customWidth="1"/>
    <col min="8" max="16384" width="8.88671875" style="19"/>
  </cols>
  <sheetData>
    <row r="1" spans="1:7" ht="102.6" customHeight="1" x14ac:dyDescent="0.25">
      <c r="A1" s="283" t="s">
        <v>230</v>
      </c>
      <c r="B1" s="283"/>
      <c r="C1" s="283"/>
      <c r="D1" s="283"/>
      <c r="E1" s="283"/>
      <c r="F1" s="283"/>
    </row>
    <row r="3" spans="1:7" s="46" customFormat="1" x14ac:dyDescent="0.3">
      <c r="C3" s="47"/>
      <c r="D3" s="48"/>
      <c r="E3" s="47"/>
      <c r="F3" s="47"/>
      <c r="G3" s="47"/>
    </row>
    <row r="4" spans="1:7" s="50" customFormat="1" ht="37.200000000000003" customHeight="1" x14ac:dyDescent="0.3">
      <c r="A4" s="302" t="s">
        <v>281</v>
      </c>
      <c r="B4" s="302"/>
      <c r="C4" s="302"/>
      <c r="D4" s="302"/>
      <c r="E4" s="302"/>
      <c r="F4" s="302"/>
      <c r="G4" s="49"/>
    </row>
    <row r="5" spans="1:7" s="50" customFormat="1" ht="17.399999999999999" x14ac:dyDescent="0.3">
      <c r="A5" s="104"/>
      <c r="B5" s="104"/>
      <c r="C5" s="104"/>
      <c r="D5" s="104"/>
      <c r="E5" s="104"/>
      <c r="F5" s="104"/>
      <c r="G5" s="49"/>
    </row>
    <row r="6" spans="1:7" s="50" customFormat="1" ht="38.4" customHeight="1" x14ac:dyDescent="0.3">
      <c r="A6" s="270" t="s">
        <v>301</v>
      </c>
      <c r="B6" s="270"/>
      <c r="C6" s="270"/>
      <c r="D6" s="118">
        <f>'1.Расчет отлов'!C5</f>
        <v>9745</v>
      </c>
      <c r="E6" s="153">
        <f>D6-487</f>
        <v>9258</v>
      </c>
      <c r="F6" s="106"/>
      <c r="G6" s="49"/>
    </row>
    <row r="7" spans="1:7" s="50" customFormat="1" ht="17.399999999999999" x14ac:dyDescent="0.3">
      <c r="A7" s="45"/>
      <c r="B7" s="45"/>
      <c r="C7" s="45"/>
      <c r="D7" s="45"/>
      <c r="E7" s="45"/>
      <c r="F7" s="45"/>
      <c r="G7" s="49"/>
    </row>
    <row r="8" spans="1:7" s="50" customFormat="1" ht="27.6" x14ac:dyDescent="0.3">
      <c r="A8" s="51" t="s">
        <v>119</v>
      </c>
      <c r="B8" s="52" t="s">
        <v>120</v>
      </c>
      <c r="C8" s="53" t="s">
        <v>121</v>
      </c>
      <c r="D8" s="54" t="s">
        <v>17</v>
      </c>
      <c r="E8" s="49"/>
      <c r="F8" s="49"/>
      <c r="G8" s="49"/>
    </row>
    <row r="9" spans="1:7" s="50" customFormat="1" x14ac:dyDescent="0.3">
      <c r="A9" s="23" t="s">
        <v>154</v>
      </c>
      <c r="B9" s="55" t="s">
        <v>146</v>
      </c>
      <c r="C9" s="53" t="s">
        <v>122</v>
      </c>
      <c r="D9" s="54">
        <v>13949.5</v>
      </c>
      <c r="E9" s="49"/>
      <c r="F9" s="49"/>
      <c r="G9" s="49"/>
    </row>
    <row r="10" spans="1:7" s="50" customFormat="1" ht="27.6" x14ac:dyDescent="0.3">
      <c r="A10" s="23" t="s">
        <v>155</v>
      </c>
      <c r="B10" s="55" t="s">
        <v>304</v>
      </c>
      <c r="C10" s="53" t="s">
        <v>123</v>
      </c>
      <c r="D10" s="54">
        <v>3.5</v>
      </c>
      <c r="E10" s="49"/>
      <c r="F10" s="49"/>
      <c r="G10" s="49"/>
    </row>
    <row r="11" spans="1:7" s="50" customFormat="1" ht="27.6" x14ac:dyDescent="0.3">
      <c r="A11" s="23" t="s">
        <v>156</v>
      </c>
      <c r="B11" s="55" t="s">
        <v>135</v>
      </c>
      <c r="C11" s="53" t="s">
        <v>122</v>
      </c>
      <c r="D11" s="54">
        <f>D9*D10*12</f>
        <v>585879</v>
      </c>
      <c r="E11" s="49"/>
      <c r="F11" s="49"/>
      <c r="G11" s="49"/>
    </row>
    <row r="12" spans="1:7" s="50" customFormat="1" x14ac:dyDescent="0.3">
      <c r="A12" s="23" t="s">
        <v>157</v>
      </c>
      <c r="B12" s="55" t="s">
        <v>136</v>
      </c>
      <c r="C12" s="53" t="s">
        <v>122</v>
      </c>
      <c r="D12" s="54">
        <f>D11*0.302</f>
        <v>176935.45799999998</v>
      </c>
      <c r="E12" s="49"/>
      <c r="F12" s="49"/>
      <c r="G12" s="49"/>
    </row>
    <row r="13" spans="1:7" s="50" customFormat="1" ht="49.2" customHeight="1" x14ac:dyDescent="0.3">
      <c r="A13" s="23" t="s">
        <v>158</v>
      </c>
      <c r="B13" s="40" t="s">
        <v>231</v>
      </c>
      <c r="C13" s="53" t="s">
        <v>147</v>
      </c>
      <c r="D13" s="84">
        <v>463</v>
      </c>
      <c r="E13" s="49"/>
      <c r="F13" s="49"/>
      <c r="G13" s="49"/>
    </row>
    <row r="14" spans="1:7" s="50" customFormat="1" x14ac:dyDescent="0.3">
      <c r="A14" s="107" t="s">
        <v>173</v>
      </c>
      <c r="B14" s="40" t="s">
        <v>282</v>
      </c>
      <c r="C14" s="26" t="s">
        <v>127</v>
      </c>
      <c r="D14" s="84">
        <v>11</v>
      </c>
      <c r="E14" s="49"/>
      <c r="F14" s="49"/>
      <c r="G14" s="49"/>
    </row>
    <row r="15" spans="1:7" s="50" customFormat="1" ht="74.400000000000006" customHeight="1" x14ac:dyDescent="0.3">
      <c r="A15" s="266" t="s">
        <v>239</v>
      </c>
      <c r="B15" s="266"/>
      <c r="C15" s="56" t="s">
        <v>122</v>
      </c>
      <c r="D15" s="57">
        <f>(D11+D12)/D13/365*345</f>
        <v>1557.2708542264565</v>
      </c>
      <c r="E15" s="49"/>
      <c r="F15" s="49"/>
      <c r="G15" s="105"/>
    </row>
    <row r="16" spans="1:7" s="50" customFormat="1" ht="14.4" customHeight="1" x14ac:dyDescent="0.3">
      <c r="A16" s="58"/>
      <c r="B16" s="58"/>
      <c r="C16" s="47"/>
      <c r="D16" s="48"/>
      <c r="E16" s="49"/>
      <c r="F16" s="49"/>
      <c r="G16" s="49"/>
    </row>
    <row r="17" spans="1:7" s="50" customFormat="1" ht="26.4" customHeight="1" x14ac:dyDescent="0.3">
      <c r="A17" s="265" t="s">
        <v>207</v>
      </c>
      <c r="B17" s="265"/>
      <c r="C17" s="265"/>
      <c r="D17" s="265"/>
      <c r="E17" s="265"/>
      <c r="F17" s="265"/>
      <c r="G17" s="49"/>
    </row>
    <row r="18" spans="1:7" s="50" customFormat="1" ht="14.4" customHeight="1" x14ac:dyDescent="0.3">
      <c r="A18" s="58"/>
      <c r="B18" s="58"/>
      <c r="C18" s="47"/>
      <c r="D18" s="48"/>
      <c r="E18" s="49"/>
      <c r="F18" s="49"/>
      <c r="G18" s="49"/>
    </row>
    <row r="19" spans="1:7" x14ac:dyDescent="0.25">
      <c r="A19" s="67"/>
      <c r="B19" s="18"/>
      <c r="C19" s="32"/>
      <c r="D19" s="33"/>
      <c r="F19" s="77"/>
    </row>
    <row r="20" spans="1:7" x14ac:dyDescent="0.25">
      <c r="A20" s="31" t="s">
        <v>103</v>
      </c>
      <c r="B20" s="289" t="s">
        <v>237</v>
      </c>
      <c r="C20" s="289"/>
      <c r="D20" s="289"/>
      <c r="E20" s="289"/>
      <c r="F20" s="289"/>
      <c r="G20" s="19"/>
    </row>
    <row r="21" spans="1:7" x14ac:dyDescent="0.25">
      <c r="A21" s="31"/>
      <c r="B21" s="89"/>
      <c r="C21" s="89"/>
      <c r="D21" s="89"/>
      <c r="E21" s="89"/>
      <c r="F21" s="89"/>
      <c r="G21" s="19"/>
    </row>
    <row r="22" spans="1:7" s="39" customFormat="1" ht="14.4" x14ac:dyDescent="0.25">
      <c r="A22" s="34" t="s">
        <v>191</v>
      </c>
      <c r="B22" s="34" t="s">
        <v>196</v>
      </c>
      <c r="C22" s="35"/>
      <c r="D22" s="36"/>
      <c r="E22" s="37"/>
      <c r="F22" s="38"/>
    </row>
    <row r="23" spans="1:7" ht="27" customHeight="1" x14ac:dyDescent="0.25">
      <c r="A23" s="23" t="s">
        <v>119</v>
      </c>
      <c r="B23" s="23" t="s">
        <v>64</v>
      </c>
      <c r="C23" s="54" t="s">
        <v>138</v>
      </c>
      <c r="D23" s="54" t="s">
        <v>139</v>
      </c>
      <c r="E23" s="54" t="s">
        <v>140</v>
      </c>
      <c r="F23" s="53" t="s">
        <v>141</v>
      </c>
      <c r="G23" s="19"/>
    </row>
    <row r="24" spans="1:7" x14ac:dyDescent="0.25">
      <c r="A24" s="20" t="s">
        <v>154</v>
      </c>
      <c r="B24" s="21" t="s">
        <v>151</v>
      </c>
      <c r="C24" s="64" t="s">
        <v>142</v>
      </c>
      <c r="D24" s="65">
        <v>250</v>
      </c>
      <c r="E24" s="64">
        <v>0.28999999999999998</v>
      </c>
      <c r="F24" s="76">
        <f>D24*E24</f>
        <v>72.5</v>
      </c>
      <c r="G24" s="18" t="s">
        <v>145</v>
      </c>
    </row>
    <row r="25" spans="1:7" s="50" customFormat="1" ht="27" customHeight="1" x14ac:dyDescent="0.3">
      <c r="A25" s="23" t="s">
        <v>155</v>
      </c>
      <c r="B25" s="51" t="s">
        <v>152</v>
      </c>
      <c r="C25" s="53" t="s">
        <v>153</v>
      </c>
      <c r="D25" s="54">
        <v>345</v>
      </c>
      <c r="E25" s="55"/>
      <c r="F25" s="69">
        <f>D25</f>
        <v>345</v>
      </c>
      <c r="G25" s="105" t="s">
        <v>238</v>
      </c>
    </row>
    <row r="26" spans="1:7" x14ac:dyDescent="0.25">
      <c r="A26" s="276" t="s">
        <v>150</v>
      </c>
      <c r="B26" s="276"/>
      <c r="C26" s="276"/>
      <c r="D26" s="276"/>
      <c r="E26" s="276"/>
      <c r="F26" s="214">
        <f>F24*F25</f>
        <v>25012.5</v>
      </c>
    </row>
    <row r="27" spans="1:7" x14ac:dyDescent="0.25">
      <c r="A27" s="78"/>
      <c r="B27" s="78"/>
      <c r="C27" s="78"/>
      <c r="D27" s="78"/>
      <c r="E27" s="78"/>
      <c r="F27" s="79"/>
    </row>
    <row r="28" spans="1:7" ht="13.95" customHeight="1" x14ac:dyDescent="0.25">
      <c r="A28" s="81"/>
      <c r="B28" s="81"/>
      <c r="C28" s="81"/>
      <c r="D28" s="81"/>
      <c r="E28" s="81"/>
      <c r="F28" s="82"/>
    </row>
    <row r="29" spans="1:7" ht="43.95" customHeight="1" x14ac:dyDescent="0.25">
      <c r="A29" s="303" t="s">
        <v>206</v>
      </c>
      <c r="B29" s="303"/>
      <c r="C29" s="303"/>
      <c r="D29" s="303"/>
      <c r="E29" s="303"/>
      <c r="F29" s="83">
        <f>D15+F26</f>
        <v>26569.770854226455</v>
      </c>
    </row>
    <row r="30" spans="1:7" ht="13.95" customHeight="1" x14ac:dyDescent="0.25">
      <c r="A30" s="81"/>
      <c r="B30" s="81"/>
      <c r="C30" s="81"/>
      <c r="D30" s="81"/>
      <c r="E30" s="81"/>
      <c r="F30" s="82"/>
    </row>
    <row r="31" spans="1:7" ht="15.6" x14ac:dyDescent="0.25">
      <c r="A31" s="273" t="s">
        <v>205</v>
      </c>
      <c r="B31" s="273"/>
      <c r="C31" s="273"/>
      <c r="D31" s="273"/>
      <c r="E31" s="273"/>
      <c r="F31" s="273"/>
    </row>
    <row r="32" spans="1:7" ht="27.6" x14ac:dyDescent="0.25">
      <c r="A32" s="280" t="s">
        <v>64</v>
      </c>
      <c r="B32" s="280"/>
      <c r="C32" s="54" t="s">
        <v>138</v>
      </c>
      <c r="D32" s="54" t="s">
        <v>139</v>
      </c>
      <c r="E32" s="54" t="s">
        <v>141</v>
      </c>
      <c r="F32" s="92"/>
      <c r="G32" s="93"/>
    </row>
    <row r="33" spans="1:6" ht="45" customHeight="1" x14ac:dyDescent="0.25">
      <c r="A33" s="281" t="s">
        <v>162</v>
      </c>
      <c r="B33" s="281"/>
      <c r="C33" s="53" t="s">
        <v>161</v>
      </c>
      <c r="D33" s="84">
        <v>5</v>
      </c>
      <c r="E33" s="69">
        <f>F29*D33/100</f>
        <v>1328.4885427113227</v>
      </c>
      <c r="F33" s="85"/>
    </row>
    <row r="34" spans="1:6" ht="43.2" customHeight="1" x14ac:dyDescent="0.25">
      <c r="A34" s="281" t="s">
        <v>160</v>
      </c>
      <c r="B34" s="281"/>
      <c r="C34" s="53" t="s">
        <v>161</v>
      </c>
      <c r="D34" s="84">
        <v>5</v>
      </c>
      <c r="E34" s="69">
        <f>F29*D34/100</f>
        <v>1328.4885427113227</v>
      </c>
    </row>
    <row r="35" spans="1:6" ht="25.95" customHeight="1" x14ac:dyDescent="0.25">
      <c r="A35" s="282" t="s">
        <v>210</v>
      </c>
      <c r="B35" s="282"/>
      <c r="C35" s="282"/>
      <c r="D35" s="282"/>
      <c r="E35" s="86">
        <f>SUM(E33:E34)</f>
        <v>2656.9770854226454</v>
      </c>
    </row>
    <row r="37" spans="1:6" ht="37.950000000000003" customHeight="1" x14ac:dyDescent="0.25">
      <c r="A37" s="283" t="s">
        <v>336</v>
      </c>
      <c r="B37" s="283"/>
      <c r="C37" s="283"/>
      <c r="D37" s="283"/>
      <c r="E37" s="119">
        <f>F29+E35</f>
        <v>29226.7479396491</v>
      </c>
      <c r="F37" s="119"/>
    </row>
    <row r="38" spans="1:6" ht="47.4" customHeight="1" x14ac:dyDescent="0.25">
      <c r="A38" s="283" t="s">
        <v>337</v>
      </c>
      <c r="B38" s="283"/>
      <c r="C38" s="283"/>
      <c r="D38" s="283"/>
      <c r="E38" s="119">
        <f>E37/345</f>
        <v>84.715211419272748</v>
      </c>
    </row>
    <row r="40" spans="1:6" ht="50.25" customHeight="1" x14ac:dyDescent="0.25">
      <c r="A40" s="284" t="s">
        <v>240</v>
      </c>
      <c r="B40" s="284"/>
      <c r="C40" s="284"/>
      <c r="D40" s="284"/>
      <c r="E40" s="143">
        <f>E37*D13</f>
        <v>13531984.296057533</v>
      </c>
      <c r="F40" s="133"/>
    </row>
  </sheetData>
  <mergeCells count="16">
    <mergeCell ref="A40:D40"/>
    <mergeCell ref="A34:B34"/>
    <mergeCell ref="A35:D35"/>
    <mergeCell ref="A37:D37"/>
    <mergeCell ref="A29:E29"/>
    <mergeCell ref="A31:F31"/>
    <mergeCell ref="A32:B32"/>
    <mergeCell ref="A33:B33"/>
    <mergeCell ref="A38:D38"/>
    <mergeCell ref="A1:F1"/>
    <mergeCell ref="B20:F20"/>
    <mergeCell ref="A26:E26"/>
    <mergeCell ref="A4:F4"/>
    <mergeCell ref="A6:C6"/>
    <mergeCell ref="A15:B15"/>
    <mergeCell ref="A17:F17"/>
  </mergeCells>
  <phoneticPr fontId="12" type="noConversion"/>
  <pageMargins left="0.7" right="0.7" top="0.75" bottom="0.75" header="0.3" footer="0.3"/>
  <pageSetup paperSize="9" scale="66" orientation="portrait" r:id="rId1"/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Схема</vt:lpstr>
      <vt:lpstr>1.Расчет отлов</vt:lpstr>
      <vt:lpstr>2. Содержание в приютах</vt:lpstr>
      <vt:lpstr>3. Возврат владельцам</vt:lpstr>
      <vt:lpstr>4. Возврат на прежние места</vt:lpstr>
      <vt:lpstr>5. Содержание невозвратных</vt:lpstr>
      <vt:lpstr>'2. Содержание в приютах'!Область_печати</vt:lpstr>
      <vt:lpstr>Схема!Область_печати</vt:lpstr>
    </vt:vector>
  </TitlesOfParts>
  <Company>Центр экономических и социальных исследований 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Галочкина Вера Сергеевна</dc:creator>
  <cp:lastModifiedBy>Ольга Анатольевна Полянцева</cp:lastModifiedBy>
  <cp:lastPrinted>2020-01-25T13:40:20Z</cp:lastPrinted>
  <dcterms:created xsi:type="dcterms:W3CDTF">2013-03-06T05:24:01Z</dcterms:created>
  <dcterms:modified xsi:type="dcterms:W3CDTF">2020-02-10T07:05:31Z</dcterms:modified>
</cp:coreProperties>
</file>